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bst\Downloads\"/>
    </mc:Choice>
  </mc:AlternateContent>
  <xr:revisionPtr revIDLastSave="0" documentId="8_{874F2948-96D7-4703-AD87-6441095DBB9C}" xr6:coauthVersionLast="47" xr6:coauthVersionMax="47" xr10:uidLastSave="{00000000-0000-0000-0000-000000000000}"/>
  <bookViews>
    <workbookView xWindow="-120" yWindow="-120" windowWidth="29040" windowHeight="15720" xr2:uid="{E697134C-F086-DB4A-9E98-AA85560060B3}"/>
  </bookViews>
  <sheets>
    <sheet name="LCA Prop" sheetId="4" r:id="rId1"/>
    <sheet name="LCA Toy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4" l="1"/>
  <c r="D42" i="4"/>
  <c r="C42" i="4"/>
  <c r="B41" i="4"/>
  <c r="B39" i="4"/>
  <c r="G30" i="4"/>
  <c r="E30" i="4"/>
  <c r="D30" i="4"/>
  <c r="B43" i="4" s="1"/>
  <c r="B30" i="4"/>
  <c r="A30" i="4"/>
  <c r="G29" i="4"/>
  <c r="F29" i="4"/>
  <c r="H29" i="4" s="1"/>
  <c r="L21" i="4" s="1"/>
  <c r="E29" i="4"/>
  <c r="B29" i="4"/>
  <c r="A29" i="4"/>
  <c r="G28" i="4"/>
  <c r="E28" i="4"/>
  <c r="D28" i="4"/>
  <c r="G27" i="4"/>
  <c r="E27" i="4"/>
  <c r="D27" i="4"/>
  <c r="B40" i="4" s="1"/>
  <c r="G26" i="4"/>
  <c r="E26" i="4"/>
  <c r="D26" i="4"/>
  <c r="C26" i="4"/>
  <c r="B26" i="4"/>
  <c r="A26" i="4"/>
  <c r="G25" i="4"/>
  <c r="E25" i="4"/>
  <c r="D25" i="4"/>
  <c r="B38" i="4" s="1"/>
  <c r="A25" i="4"/>
  <c r="D24" i="4"/>
  <c r="D23" i="4"/>
  <c r="C23" i="4"/>
  <c r="K22" i="4"/>
  <c r="G22" i="4"/>
  <c r="G24" i="4" s="1"/>
  <c r="E22" i="4"/>
  <c r="E24" i="4" s="1"/>
  <c r="D22" i="4"/>
  <c r="B37" i="4" s="1"/>
  <c r="K21" i="4"/>
  <c r="G21" i="4"/>
  <c r="G23" i="4" s="1"/>
  <c r="E21" i="4"/>
  <c r="E23" i="4" s="1"/>
  <c r="D21" i="4"/>
  <c r="K7" i="4" s="1"/>
  <c r="B21" i="4"/>
  <c r="A21" i="4"/>
  <c r="D20" i="4"/>
  <c r="C20" i="4"/>
  <c r="B20" i="4"/>
  <c r="A20" i="4"/>
  <c r="K18" i="4"/>
  <c r="F16" i="4"/>
  <c r="F30" i="4" s="1"/>
  <c r="H30" i="4" s="1"/>
  <c r="C16" i="4"/>
  <c r="C30" i="4" s="1"/>
  <c r="F15" i="4"/>
  <c r="D15" i="4"/>
  <c r="D29" i="4" s="1"/>
  <c r="B42" i="4" s="1"/>
  <c r="C15" i="4"/>
  <c r="C29" i="4" s="1"/>
  <c r="F14" i="4"/>
  <c r="F28" i="4" s="1"/>
  <c r="H28" i="4" s="1"/>
  <c r="L12" i="4" s="1"/>
  <c r="C14" i="4"/>
  <c r="C28" i="4" s="1"/>
  <c r="K13" i="4"/>
  <c r="F13" i="4"/>
  <c r="F27" i="4" s="1"/>
  <c r="H27" i="4" s="1"/>
  <c r="L11" i="4" s="1"/>
  <c r="C13" i="4"/>
  <c r="C27" i="4" s="1"/>
  <c r="K12" i="4"/>
  <c r="F12" i="4"/>
  <c r="F26" i="4" s="1"/>
  <c r="H26" i="4" s="1"/>
  <c r="C12" i="4"/>
  <c r="B12" i="4"/>
  <c r="K20" i="4" s="1"/>
  <c r="K11" i="4"/>
  <c r="F11" i="4"/>
  <c r="F25" i="4" s="1"/>
  <c r="C11" i="4"/>
  <c r="C25" i="4" s="1"/>
  <c r="B11" i="4"/>
  <c r="K19" i="4" s="1"/>
  <c r="K10" i="4"/>
  <c r="E10" i="4"/>
  <c r="F10" i="4" s="1"/>
  <c r="F24" i="4" s="1"/>
  <c r="K9" i="4"/>
  <c r="E9" i="4"/>
  <c r="F9" i="4" s="1"/>
  <c r="F23" i="4" s="1"/>
  <c r="H23" i="4" s="1"/>
  <c r="K8" i="4"/>
  <c r="E8" i="4"/>
  <c r="F8" i="4" s="1"/>
  <c r="F22" i="4" s="1"/>
  <c r="E7" i="4"/>
  <c r="F7" i="4" s="1"/>
  <c r="C7" i="4"/>
  <c r="C21" i="4" s="1"/>
  <c r="H25" i="4" l="1"/>
  <c r="H22" i="4"/>
  <c r="L19" i="4"/>
  <c r="L9" i="4"/>
  <c r="F17" i="4"/>
  <c r="F21" i="4"/>
  <c r="H21" i="4" s="1"/>
  <c r="L13" i="4"/>
  <c r="L22" i="4"/>
  <c r="H24" i="4"/>
  <c r="L8" i="4" s="1"/>
  <c r="L20" i="4"/>
  <c r="L10" i="4"/>
  <c r="B36" i="4"/>
  <c r="B25" i="4"/>
  <c r="L7" i="4" l="1"/>
  <c r="L18" i="4"/>
  <c r="H31" i="4"/>
  <c r="L23" i="4" l="1"/>
  <c r="M18" i="4" s="1"/>
  <c r="L14" i="4"/>
  <c r="M7" i="4" s="1"/>
  <c r="M11" i="4" l="1"/>
  <c r="M12" i="4"/>
  <c r="M8" i="4"/>
  <c r="M10" i="4"/>
  <c r="M9" i="4"/>
  <c r="M13" i="4"/>
  <c r="M21" i="4"/>
  <c r="M20" i="4"/>
  <c r="M19" i="4"/>
  <c r="M22" i="4"/>
  <c r="M14" i="4" l="1"/>
  <c r="M23" i="4"/>
  <c r="C97" i="2" l="1"/>
  <c r="C96" i="2"/>
  <c r="D86" i="2"/>
  <c r="E83" i="2"/>
  <c r="D83" i="2"/>
  <c r="C83" i="2"/>
  <c r="D81" i="2"/>
  <c r="G54" i="2" s="1"/>
  <c r="D79" i="2"/>
  <c r="G51" i="2" s="1"/>
  <c r="D75" i="2"/>
  <c r="D72" i="2"/>
  <c r="G68" i="2"/>
  <c r="F68" i="2"/>
  <c r="H68" i="2" s="1"/>
  <c r="E68" i="2"/>
  <c r="D68" i="2"/>
  <c r="C68" i="2"/>
  <c r="B68" i="2"/>
  <c r="G67" i="2"/>
  <c r="E67" i="2"/>
  <c r="D67" i="2"/>
  <c r="G66" i="2"/>
  <c r="F66" i="2"/>
  <c r="H66" i="2" s="1"/>
  <c r="E66" i="2"/>
  <c r="G65" i="2"/>
  <c r="E65" i="2"/>
  <c r="G64" i="2"/>
  <c r="E64" i="2"/>
  <c r="D64" i="2"/>
  <c r="G63" i="2"/>
  <c r="E63" i="2"/>
  <c r="D63" i="2"/>
  <c r="G62" i="2"/>
  <c r="E62" i="2"/>
  <c r="G61" i="2"/>
  <c r="E61" i="2"/>
  <c r="D61" i="2"/>
  <c r="B61" i="2"/>
  <c r="E60" i="2"/>
  <c r="D60" i="2"/>
  <c r="G59" i="2"/>
  <c r="E59" i="2"/>
  <c r="D59" i="2"/>
  <c r="E58" i="2"/>
  <c r="D58" i="2"/>
  <c r="F57" i="2"/>
  <c r="E57" i="2"/>
  <c r="D57" i="2"/>
  <c r="G56" i="2"/>
  <c r="D56" i="2"/>
  <c r="G55" i="2"/>
  <c r="E55" i="2"/>
  <c r="D55" i="2"/>
  <c r="E54" i="2"/>
  <c r="D54" i="2"/>
  <c r="G53" i="2"/>
  <c r="E53" i="2"/>
  <c r="D53" i="2"/>
  <c r="G52" i="2"/>
  <c r="E52" i="2"/>
  <c r="D52" i="2"/>
  <c r="E51" i="2"/>
  <c r="G50" i="2"/>
  <c r="E50" i="2"/>
  <c r="G49" i="2"/>
  <c r="E49" i="2"/>
  <c r="G48" i="2"/>
  <c r="E48" i="2"/>
  <c r="G47" i="2"/>
  <c r="E47" i="2"/>
  <c r="G46" i="2"/>
  <c r="E46" i="2"/>
  <c r="B46" i="2"/>
  <c r="G45" i="2"/>
  <c r="F45" i="2"/>
  <c r="H45" i="2" s="1"/>
  <c r="E45" i="2"/>
  <c r="D45" i="2"/>
  <c r="G44" i="2"/>
  <c r="E44" i="2"/>
  <c r="D44" i="2"/>
  <c r="B44" i="2"/>
  <c r="G43" i="2"/>
  <c r="E43" i="2"/>
  <c r="B43" i="2"/>
  <c r="D42" i="2"/>
  <c r="C42" i="2"/>
  <c r="B42" i="2"/>
  <c r="F37" i="2"/>
  <c r="F36" i="2"/>
  <c r="F35" i="2"/>
  <c r="F67" i="2" s="1"/>
  <c r="H67" i="2" s="1"/>
  <c r="C35" i="2"/>
  <c r="C67" i="2" s="1"/>
  <c r="F34" i="2"/>
  <c r="E33" i="2"/>
  <c r="F33" i="2" s="1"/>
  <c r="F65" i="2" s="1"/>
  <c r="H65" i="2" s="1"/>
  <c r="D33" i="2"/>
  <c r="D65" i="2" s="1"/>
  <c r="E32" i="2"/>
  <c r="F32" i="2" s="1"/>
  <c r="F64" i="2" s="1"/>
  <c r="H64" i="2" s="1"/>
  <c r="F31" i="2"/>
  <c r="F63" i="2" s="1"/>
  <c r="H63" i="2" s="1"/>
  <c r="C31" i="2"/>
  <c r="C63" i="2" s="1"/>
  <c r="F30" i="2"/>
  <c r="F62" i="2" s="1"/>
  <c r="H62" i="2" s="1"/>
  <c r="D30" i="2"/>
  <c r="D62" i="2" s="1"/>
  <c r="C30" i="2"/>
  <c r="C62" i="2" s="1"/>
  <c r="F29" i="2"/>
  <c r="F61" i="2" s="1"/>
  <c r="H61" i="2" s="1"/>
  <c r="D29" i="2"/>
  <c r="C29" i="2"/>
  <c r="C61" i="2" s="1"/>
  <c r="F28" i="2"/>
  <c r="F60" i="2" s="1"/>
  <c r="F27" i="2"/>
  <c r="F59" i="2" s="1"/>
  <c r="H59" i="2" s="1"/>
  <c r="D27" i="2"/>
  <c r="F26" i="2"/>
  <c r="F58" i="2" s="1"/>
  <c r="F25" i="2"/>
  <c r="D25" i="2"/>
  <c r="F24" i="2"/>
  <c r="F56" i="2" s="1"/>
  <c r="H56" i="2" s="1"/>
  <c r="C24" i="2"/>
  <c r="C56" i="2" s="1"/>
  <c r="F23" i="2"/>
  <c r="F55" i="2" s="1"/>
  <c r="H55" i="2" s="1"/>
  <c r="F22" i="2"/>
  <c r="F54" i="2" s="1"/>
  <c r="F21" i="2"/>
  <c r="F53" i="2" s="1"/>
  <c r="H53" i="2" s="1"/>
  <c r="F20" i="2"/>
  <c r="F52" i="2" s="1"/>
  <c r="H52" i="2" s="1"/>
  <c r="C20" i="2"/>
  <c r="C52" i="2" s="1"/>
  <c r="F19" i="2"/>
  <c r="F51" i="2" s="1"/>
  <c r="D19" i="2"/>
  <c r="D51" i="2" s="1"/>
  <c r="C19" i="2"/>
  <c r="C51" i="2" s="1"/>
  <c r="F18" i="2"/>
  <c r="F50" i="2" s="1"/>
  <c r="H50" i="2" s="1"/>
  <c r="D18" i="2"/>
  <c r="D50" i="2" s="1"/>
  <c r="C18" i="2"/>
  <c r="C50" i="2" s="1"/>
  <c r="F17" i="2"/>
  <c r="F49" i="2" s="1"/>
  <c r="H49" i="2" s="1"/>
  <c r="D17" i="2"/>
  <c r="D49" i="2" s="1"/>
  <c r="C17" i="2"/>
  <c r="C49" i="2" s="1"/>
  <c r="F16" i="2"/>
  <c r="F48" i="2" s="1"/>
  <c r="H48" i="2" s="1"/>
  <c r="D16" i="2"/>
  <c r="D48" i="2" s="1"/>
  <c r="C16" i="2"/>
  <c r="C48" i="2" s="1"/>
  <c r="F15" i="2"/>
  <c r="F47" i="2" s="1"/>
  <c r="H47" i="2" s="1"/>
  <c r="D15" i="2"/>
  <c r="D47" i="2" s="1"/>
  <c r="C15" i="2"/>
  <c r="C47" i="2" s="1"/>
  <c r="F14" i="2"/>
  <c r="F46" i="2" s="1"/>
  <c r="H46" i="2" s="1"/>
  <c r="D14" i="2"/>
  <c r="D46" i="2" s="1"/>
  <c r="C14" i="2"/>
  <c r="C46" i="2" s="1"/>
  <c r="F13" i="2"/>
  <c r="F12" i="2"/>
  <c r="F39" i="2" s="1"/>
  <c r="C98" i="2" s="1"/>
  <c r="C12" i="2"/>
  <c r="C44" i="2" s="1"/>
  <c r="F11" i="2"/>
  <c r="F43" i="2" s="1"/>
  <c r="H43" i="2" s="1"/>
  <c r="D11" i="2"/>
  <c r="D43" i="2" s="1"/>
  <c r="C11" i="2"/>
  <c r="C43" i="2" s="1"/>
  <c r="H54" i="2" l="1"/>
  <c r="H58" i="2"/>
  <c r="H51" i="2"/>
  <c r="G58" i="2"/>
  <c r="F44" i="2"/>
  <c r="H44" i="2" s="1"/>
  <c r="G60" i="2"/>
  <c r="H60" i="2" s="1"/>
  <c r="G57" i="2"/>
  <c r="H57" i="2" s="1"/>
  <c r="F69" i="2"/>
  <c r="H69" i="2" l="1"/>
  <c r="C95" i="2" s="1"/>
  <c r="C99" i="2" l="1"/>
  <c r="D95" i="2" s="1"/>
  <c r="D97" i="2" l="1"/>
  <c r="D98" i="2"/>
  <c r="D96" i="2"/>
  <c r="D9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SitiSyuhaida.Mohamed-Yunus</author>
  </authors>
  <commentList>
    <comment ref="D72" authorId="0" shapeId="0" xr:uid="{60233C49-6131-2A46-BBBA-912F5AB69772}">
      <text>
        <r>
          <rPr>
            <b/>
            <sz val="9"/>
            <color indexed="81"/>
            <rFont val="Tahoma"/>
            <family val="2"/>
          </rPr>
          <t>SitiSyuhaida.Mohamed-Yunus:</t>
        </r>
        <r>
          <rPr>
            <sz val="9"/>
            <color indexed="81"/>
            <rFont val="Tahoma"/>
            <family val="2"/>
          </rPr>
          <t xml:space="preserve">
ReCiPe 2016 v1.03 midpoint H</t>
        </r>
      </text>
    </comment>
    <comment ref="D75" authorId="0" shapeId="0" xr:uid="{F29B2D15-2BB6-384F-A04F-90FF70AE4E1C}">
      <text>
        <r>
          <rPr>
            <b/>
            <sz val="9"/>
            <color rgb="FF000000"/>
            <rFont val="Tahoma"/>
            <family val="2"/>
          </rPr>
          <t>SitiSyuhaida.Mohamed-Yunus: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8.322 kgCO2eq. For 365 days</t>
        </r>
      </text>
    </comment>
    <comment ref="D79" authorId="0" shapeId="0" xr:uid="{AC02CE48-9A81-D542-86D6-3CA6245AC94B}">
      <text>
        <r>
          <rPr>
            <b/>
            <sz val="9"/>
            <color rgb="FF000000"/>
            <rFont val="Tahoma"/>
            <family val="2"/>
          </rPr>
          <t>SitiSyuhaida.Mohamed-Yunus: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for 1kWh, GWP = 64.5 kgCo2eq. For 1 battery cell, about 9.6Wh. </t>
        </r>
      </text>
    </comment>
    <comment ref="B97" authorId="0" shapeId="0" xr:uid="{5B38825D-7E5D-B743-B781-619672EE2250}">
      <text>
        <r>
          <rPr>
            <b/>
            <sz val="9"/>
            <color indexed="81"/>
            <rFont val="Tahoma"/>
            <family val="2"/>
          </rPr>
          <t>SitiSyuhaida.Mohamed-Yunus:</t>
        </r>
        <r>
          <rPr>
            <sz val="9"/>
            <color indexed="81"/>
            <rFont val="Tahoma"/>
            <family val="2"/>
          </rPr>
          <t xml:space="preserve">
https://www.batteriesexpert.com/en/guide/pile/guide-de-piles/#:~:text=Durable,recharged%20up%20to%202%2C000%20times.</t>
        </r>
      </text>
    </comment>
  </commentList>
</comments>
</file>

<file path=xl/sharedStrings.xml><?xml version="1.0" encoding="utf-8"?>
<sst xmlns="http://schemas.openxmlformats.org/spreadsheetml/2006/main" count="246" uniqueCount="137">
  <si>
    <t>kg</t>
  </si>
  <si>
    <t>Functional unit</t>
  </si>
  <si>
    <t>1 unit of lightsaber toy for its lifespan</t>
  </si>
  <si>
    <t>lifespan of the rechargeable battery is 2000 times</t>
  </si>
  <si>
    <t>Inventory of 1 unit lightsaber toy</t>
  </si>
  <si>
    <t>No</t>
  </si>
  <si>
    <t>Lightsaber components</t>
  </si>
  <si>
    <t>Lightsaber Parts</t>
  </si>
  <si>
    <t>Materials</t>
  </si>
  <si>
    <t>Count</t>
  </si>
  <si>
    <t>Amount</t>
  </si>
  <si>
    <t>Unit</t>
  </si>
  <si>
    <t>Origin</t>
  </si>
  <si>
    <t>Ref</t>
  </si>
  <si>
    <t>The Emitter</t>
  </si>
  <si>
    <t>China</t>
  </si>
  <si>
    <t>The Casing</t>
  </si>
  <si>
    <t>Aluminium</t>
  </si>
  <si>
    <t>Circuit board</t>
  </si>
  <si>
    <t>The Power Cell</t>
  </si>
  <si>
    <t>Steel</t>
  </si>
  <si>
    <t>Copper wire (3-pin male/female jumper)</t>
  </si>
  <si>
    <t>Plastic connector housing (JST connector)</t>
  </si>
  <si>
    <t>Soldering material</t>
  </si>
  <si>
    <t>Amplifier board</t>
  </si>
  <si>
    <t>Speaker - aluminium</t>
  </si>
  <si>
    <t>The focusing lens</t>
  </si>
  <si>
    <t>Copper wire</t>
  </si>
  <si>
    <t>LED module</t>
  </si>
  <si>
    <t>USB cable</t>
  </si>
  <si>
    <t>USB cable for charging</t>
  </si>
  <si>
    <t>Packaging box</t>
  </si>
  <si>
    <t>Cardboard box for packaging</t>
  </si>
  <si>
    <t>Carton box</t>
  </si>
  <si>
    <t>Distance from manufacturer to the UK</t>
  </si>
  <si>
    <t>China to UK</t>
  </si>
  <si>
    <t>Sea freight</t>
  </si>
  <si>
    <t>km</t>
  </si>
  <si>
    <t>Total</t>
  </si>
  <si>
    <t>LCIA of 1 unit lightsaber toy</t>
  </si>
  <si>
    <t>ecoinvent material per kg</t>
  </si>
  <si>
    <t>Weight, kg</t>
  </si>
  <si>
    <t>GWP, kg CO2 eq/kg material</t>
  </si>
  <si>
    <t>Total GWP, kg CO2 eq</t>
  </si>
  <si>
    <t>market for polymethyl methacrylate, beads</t>
  </si>
  <si>
    <t>market for aluminium, cast alloy</t>
  </si>
  <si>
    <t>Raspberry Pi board</t>
  </si>
  <si>
    <t>market for steel, chromium steel 18/8</t>
  </si>
  <si>
    <t>market for ethylene vinyl acetate copolymer</t>
  </si>
  <si>
    <t>EVA tape</t>
  </si>
  <si>
    <t>3.7V Li-ion battery cell rechargeable, 9.6Wh</t>
  </si>
  <si>
    <t>market for cable, three-conductor cable</t>
  </si>
  <si>
    <t>market for electronic component, passive, mobile, earpiece and speaker</t>
  </si>
  <si>
    <t>market for wire drawing, steel</t>
  </si>
  <si>
    <t>market for light emitting diode</t>
  </si>
  <si>
    <t>Accessories of 1 smartphone - 2% of total GWP 21.1 kgCO2eq</t>
  </si>
  <si>
    <t>Emission factor data</t>
  </si>
  <si>
    <t>Ecoinvent data</t>
  </si>
  <si>
    <t>Reference</t>
  </si>
  <si>
    <t>Acrylic/Polycarbonate/PMMA</t>
  </si>
  <si>
    <t>https://ecoquery.ecoinvent.org/3.10/cutoff/dataset/2783/impact_assessment</t>
  </si>
  <si>
    <t>https://ecoquery.ecoinvent.org/3.10/cutoff/dataset/7573/impact_assessment</t>
  </si>
  <si>
    <t>Circuit board - Raspberry Pi board</t>
  </si>
  <si>
    <t>https://smsjournals.com/index.php/SAMRIDDHI/article/download/2312/1084#:~:text=Wi%2DFi%20Access%20points%20generate,maximum%20power%20for%20365%20days.</t>
  </si>
  <si>
    <t>https://ecoquery.ecoinvent.org/3.10/cutoff/dataset/3468/impact_assessment</t>
  </si>
  <si>
    <t xml:space="preserve">Glue - hot gun </t>
  </si>
  <si>
    <t>https://ecoquery.ecoinvent.org/3.10/cutoff/dataset/18120/impact_assessment</t>
  </si>
  <si>
    <t xml:space="preserve">Foam (double sided tape) </t>
  </si>
  <si>
    <t>https://www.gtggroup.com.my/images/user/content/1122202150523PMFINAL-Report_DS-Tape_29.9.2021.pdf</t>
  </si>
  <si>
    <t xml:space="preserve">Battery </t>
  </si>
  <si>
    <t>https://www.sciencedirect.com/science/article/pii/S0306261923014964#ab0005</t>
  </si>
  <si>
    <t>https://ecoquery.ecoinvent.org/3.10/cutoff/dataset/1443/impact_assessment</t>
  </si>
  <si>
    <t xml:space="preserve">Connector housing pastic </t>
  </si>
  <si>
    <t>https://ecoquery.ecoinvent.org/3.10/cutoff/dataset/24839/impact_assessment</t>
  </si>
  <si>
    <t xml:space="preserve">Soldering material </t>
  </si>
  <si>
    <t>https://ecoquery.ecoinvent.org/3.10/cutoff/dataset/3458/impact_assessment</t>
  </si>
  <si>
    <t xml:space="preserve">Plastic resin </t>
  </si>
  <si>
    <t>https://ecoquery.ecoinvent.org/3.10/cutoff/dataset/946/impact_assessment</t>
  </si>
  <si>
    <t>Speaker</t>
  </si>
  <si>
    <t>USB Cable</t>
  </si>
  <si>
    <t>https://onlinelibrary.wiley.com/doi/10.1111/jiec.13119</t>
  </si>
  <si>
    <t>Transport - sea freight</t>
  </si>
  <si>
    <t>market for transport, freight, sea, container ship</t>
  </si>
  <si>
    <t>https://ecoquery.ecoinvent.org/3.10/cutoff/dataset/21045/impact_assessment</t>
  </si>
  <si>
    <t>Low voltage electricity</t>
  </si>
  <si>
    <t>market for electricity, low voltage</t>
  </si>
  <si>
    <t>https://ecoquery.ecoinvent.org/3.10/cutoff/dataset/1478/impact_assessment</t>
  </si>
  <si>
    <t>Cardboard box packaging</t>
  </si>
  <si>
    <t>market for carton board box production, with offset printing</t>
  </si>
  <si>
    <t>https://ecoquery.ecoinvent.org/3.10/cutoff/dataset/7085/impact_assessment</t>
  </si>
  <si>
    <t>Polyester</t>
  </si>
  <si>
    <t>market for fibre, polyester</t>
  </si>
  <si>
    <t>https://ecoquery.ecoinvent.org/3.10/cutoff/dataset/20467/impact_assessment</t>
  </si>
  <si>
    <t>Lorry, 3.5 - 7.5 t</t>
  </si>
  <si>
    <t>market for transport, freight, lorry 3.5-7.5 metric ton, EURO6</t>
  </si>
  <si>
    <t>https://ecoquery.ecoinvent.org/3.10/cutoff/dataset/17989/impact_assessment</t>
  </si>
  <si>
    <t>LCA stages</t>
  </si>
  <si>
    <t>LCA Stage</t>
  </si>
  <si>
    <t>GWP, kgCO2eq</t>
  </si>
  <si>
    <t>Percentage, %</t>
  </si>
  <si>
    <t>Raw material</t>
  </si>
  <si>
    <t>Packaging</t>
  </si>
  <si>
    <t>Use stage - charging for 2000 times (lifespan)</t>
  </si>
  <si>
    <t xml:space="preserve">Transport </t>
  </si>
  <si>
    <t>1 unit of lightsaber prop</t>
  </si>
  <si>
    <t>Inventory of 1 unit lightsaber prop</t>
  </si>
  <si>
    <t>Pommel</t>
  </si>
  <si>
    <t>Brass</t>
  </si>
  <si>
    <t>Chrome plated</t>
  </si>
  <si>
    <t>D-ring</t>
  </si>
  <si>
    <t>Cast iron</t>
  </si>
  <si>
    <t>Plastic/polycarbonate</t>
  </si>
  <si>
    <t>Electronic component/silicon</t>
  </si>
  <si>
    <t>Upper grip</t>
  </si>
  <si>
    <t>Emitter</t>
  </si>
  <si>
    <t>LCA of 1 unit lightsaber prop</t>
  </si>
  <si>
    <t>GWP, kgCO2eq/kg material</t>
  </si>
  <si>
    <t>Total GWP, kgCO2eq</t>
  </si>
  <si>
    <t>(IPCC 2001/climate change, ecoinvent v1 - data range 2000-2003)</t>
  </si>
  <si>
    <t>ecoinvent data</t>
  </si>
  <si>
    <t>brass, at plant, CH, [kg] (#1066)</t>
  </si>
  <si>
    <t>https://db.ecoinvent.org/processdetail.php?area=2&amp;pid=1066&amp;displaymode=LCIA</t>
  </si>
  <si>
    <t>chromium, at regional storage, RER, [kg] (#1073)</t>
  </si>
  <si>
    <t>https://db.ecoinvent.org/processdetail.php?area=2&amp;pid=1073&amp;displaymode=LCIA</t>
  </si>
  <si>
    <t>cast iron, at plant, RER, [kg] (#1069)</t>
  </si>
  <si>
    <t>https://db.ecoinvent.org/processdetail.php?area=2&amp;pid=1069&amp;displaymode=LCIA</t>
  </si>
  <si>
    <t>aluminium, production mix, wrought alloy, at plant, RER, [kg] (#1058)</t>
  </si>
  <si>
    <t>https://db.ecoinvent.org/processdetail.php?area=2&amp;pid=1058&amp;displaymode=LCIA</t>
  </si>
  <si>
    <t>polycarbonate, at plant, RER, [kg] (#1826)</t>
  </si>
  <si>
    <t>https://db.ecoinvent.org/processdetail.php?area=2&amp;pid=1826&amp;displaymode=LCIA</t>
  </si>
  <si>
    <t>silicon, electronic grade, at plant, DE, [kg] (#1190)</t>
  </si>
  <si>
    <t>https://db.ecoinvent.org/processdetail.php?area=2&amp;pid=1190&amp;displaymode=LCIA</t>
  </si>
  <si>
    <t>steel, low-alloyed, at plant, RER, [kg] (#1154)</t>
  </si>
  <si>
    <t>https://db.ecoinvent.org/processdetail.php?area=2&amp;pid=1154&amp;displaymode=LCIA</t>
  </si>
  <si>
    <t>GWP, kgCO2 eq</t>
  </si>
  <si>
    <t>Percentage</t>
  </si>
  <si>
    <t>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</si>
</sst>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%"/>
  </numFmts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10" xfId="0" applyNumberFormat="1" applyBorder="1"/>
    <xf numFmtId="0" fontId="18" fillId="0" borderId="0" xfId="43"/>
    <xf numFmtId="166" fontId="0" fillId="0" borderId="0" xfId="1" applyNumberFormat="1" applyFont="1"/>
    <xf numFmtId="9" fontId="0" fillId="0" borderId="10" xfId="0" applyNumberFormat="1" applyBorder="1"/>
    <xf numFmtId="0" fontId="23" fillId="0" borderId="0" xfId="0" applyFont="1"/>
    <xf numFmtId="165" fontId="16" fillId="0" borderId="10" xfId="0" applyNumberFormat="1" applyFont="1" applyBorder="1"/>
    <xf numFmtId="165" fontId="0" fillId="0" borderId="10" xfId="0" applyNumberFormat="1" applyBorder="1"/>
    <xf numFmtId="165" fontId="23" fillId="0" borderId="0" xfId="0" applyNumberFormat="1" applyFont="1"/>
    <xf numFmtId="0" fontId="23" fillId="0" borderId="10" xfId="0" applyFont="1" applyBorder="1"/>
    <xf numFmtId="165" fontId="23" fillId="0" borderId="10" xfId="0" applyNumberFormat="1" applyFont="1" applyBorder="1"/>
    <xf numFmtId="0" fontId="0" fillId="0" borderId="0" xfId="0" applyAlignment="1">
      <alignment horizontal="right"/>
    </xf>
    <xf numFmtId="9" fontId="0" fillId="0" borderId="0" xfId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24344/Desktop/CS3%20Lightsaber/Original%20component%20inf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24344/Desktop/CS3%20Lightsaber/Toy%20Lightsaber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ghtsaber, Obi-Wan Kenobi EIV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"/>
      <sheetName val="PrecalcLC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coquery.ecoinvent.org/3.10/cutoff/dataset/2783/impact_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8542-1DFE-A741-A3EA-1F4BEA125DC5}">
  <dimension ref="A1:M44"/>
  <sheetViews>
    <sheetView tabSelected="1" workbookViewId="0">
      <selection activeCell="L25" sqref="L25"/>
    </sheetView>
  </sheetViews>
  <sheetFormatPr defaultColWidth="11.5546875" defaultRowHeight="15"/>
  <cols>
    <col min="1" max="1" width="15.33203125" customWidth="1"/>
  </cols>
  <sheetData>
    <row r="1" spans="1:13" ht="15.75">
      <c r="A1" s="11" t="s">
        <v>1</v>
      </c>
      <c r="B1" s="11" t="s">
        <v>104</v>
      </c>
      <c r="F1" s="6"/>
    </row>
    <row r="2" spans="1:13">
      <c r="F2" s="6"/>
    </row>
    <row r="3" spans="1:13">
      <c r="F3" s="6"/>
    </row>
    <row r="4" spans="1:13">
      <c r="F4" s="6"/>
    </row>
    <row r="5" spans="1:13" ht="15.75">
      <c r="A5" s="1" t="s">
        <v>105</v>
      </c>
      <c r="B5" s="1"/>
      <c r="F5" s="6"/>
    </row>
    <row r="6" spans="1:13" ht="16.5" thickBot="1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12" t="s">
        <v>10</v>
      </c>
      <c r="G6" s="2" t="s">
        <v>11</v>
      </c>
      <c r="J6" s="2" t="s">
        <v>5</v>
      </c>
      <c r="K6" s="2" t="s">
        <v>8</v>
      </c>
      <c r="L6" s="2" t="s">
        <v>134</v>
      </c>
      <c r="M6" s="2" t="s">
        <v>135</v>
      </c>
    </row>
    <row r="7" spans="1:13">
      <c r="A7">
        <v>1</v>
      </c>
      <c r="B7" t="s">
        <v>106</v>
      </c>
      <c r="C7" t="str">
        <f>'[1]Lightsaber, Obi-Wan Kenobi EIV'!B2</f>
        <v>Armitage shanks starlight tap wheel - D-ring 3/4"</v>
      </c>
      <c r="D7" t="s">
        <v>107</v>
      </c>
      <c r="E7">
        <f>1*0.9</f>
        <v>0.9</v>
      </c>
      <c r="F7" s="6">
        <f>E7*'[1]Lightsaber, Obi-Wan Kenobi EIV'!H2</f>
        <v>5.8500000000000003E-2</v>
      </c>
      <c r="G7" t="s">
        <v>0</v>
      </c>
      <c r="J7">
        <v>1</v>
      </c>
      <c r="K7" t="str">
        <f>D21</f>
        <v>Brass</v>
      </c>
      <c r="L7" s="6">
        <f>SUM(H21,H23)</f>
        <v>0.14790600000000001</v>
      </c>
      <c r="M7" s="18">
        <f>L7/$L$14</f>
        <v>3.6045727582813866E-2</v>
      </c>
    </row>
    <row r="8" spans="1:13">
      <c r="D8" t="s">
        <v>108</v>
      </c>
      <c r="E8">
        <f>1*0.1</f>
        <v>0.1</v>
      </c>
      <c r="F8" s="6">
        <f>E8*'[1]Lightsaber, Obi-Wan Kenobi EIV'!H2</f>
        <v>6.5000000000000006E-3</v>
      </c>
      <c r="G8" t="s">
        <v>0</v>
      </c>
      <c r="J8">
        <v>2</v>
      </c>
      <c r="K8" t="str">
        <f>D8</f>
        <v>Chrome plated</v>
      </c>
      <c r="L8" s="6">
        <f>SUM(H22,H24)</f>
        <v>0.20750000000000002</v>
      </c>
      <c r="M8" s="18">
        <f t="shared" ref="M8:M13" si="0">L8/$L$14</f>
        <v>5.0569202557258511E-2</v>
      </c>
    </row>
    <row r="9" spans="1:13">
      <c r="C9" t="s">
        <v>109</v>
      </c>
      <c r="D9" t="s">
        <v>107</v>
      </c>
      <c r="E9">
        <f>1*0.9</f>
        <v>0.9</v>
      </c>
      <c r="F9" s="6">
        <f>E9*'[1]Lightsaber, Obi-Wan Kenobi EIV'!H3</f>
        <v>1.6199999999999999E-2</v>
      </c>
      <c r="G9" t="s">
        <v>0</v>
      </c>
      <c r="J9">
        <v>3</v>
      </c>
      <c r="K9" t="str">
        <f>D11</f>
        <v>Cast iron</v>
      </c>
      <c r="L9" s="6">
        <f>SUM(H25,H29)</f>
        <v>0.90339963999999995</v>
      </c>
      <c r="M9" s="18">
        <f t="shared" si="0"/>
        <v>0.22016481631476822</v>
      </c>
    </row>
    <row r="10" spans="1:13">
      <c r="D10" t="s">
        <v>108</v>
      </c>
      <c r="E10">
        <f>1*0.1</f>
        <v>0.1</v>
      </c>
      <c r="F10" s="6">
        <f>E10*'[1]Lightsaber, Obi-Wan Kenobi EIV'!H3</f>
        <v>1.8E-3</v>
      </c>
      <c r="G10" t="s">
        <v>0</v>
      </c>
      <c r="J10">
        <v>4</v>
      </c>
      <c r="K10" t="str">
        <f>D12</f>
        <v>Aluminium</v>
      </c>
      <c r="L10" s="6">
        <f>H26</f>
        <v>0.72760000000000002</v>
      </c>
      <c r="M10" s="18">
        <f t="shared" si="0"/>
        <v>0.17732121340077731</v>
      </c>
    </row>
    <row r="11" spans="1:13">
      <c r="A11">
        <v>2</v>
      </c>
      <c r="B11" t="str">
        <f>'[1]Lightsaber, Obi-Wan Kenobi EIV'!A4</f>
        <v>Lower Grip</v>
      </c>
      <c r="C11" t="str">
        <f>'[1]Lightsaber, Obi-Wan Kenobi EIV'!B4</f>
        <v>Browning ANM2 Machine Gun (.303 Mk II) Muzzle Booster</v>
      </c>
      <c r="D11" t="s">
        <v>110</v>
      </c>
      <c r="E11">
        <v>1</v>
      </c>
      <c r="F11" s="6">
        <f>'[1]Lightsaber, Obi-Wan Kenobi EIV'!H4</f>
        <v>0.14174799999999999</v>
      </c>
      <c r="G11" t="s">
        <v>0</v>
      </c>
      <c r="J11">
        <v>5</v>
      </c>
      <c r="K11" t="str">
        <f>D13</f>
        <v>Plastic/polycarbonate</v>
      </c>
      <c r="L11" s="6">
        <f>H27</f>
        <v>7.5740000000000016E-2</v>
      </c>
      <c r="M11" s="18">
        <f t="shared" si="0"/>
        <v>1.8458368200900049E-2</v>
      </c>
    </row>
    <row r="12" spans="1:13">
      <c r="A12">
        <v>3</v>
      </c>
      <c r="B12" t="str">
        <f>'[1]Lightsaber, Obi-Wan Kenobi EIV'!A9</f>
        <v>Controls</v>
      </c>
      <c r="C12" t="str">
        <f>'[1]Lightsaber, Obi-Wan Kenobi EIV'!B9</f>
        <v>Graflex flash handle clamp</v>
      </c>
      <c r="D12" t="s">
        <v>17</v>
      </c>
      <c r="E12">
        <v>1</v>
      </c>
      <c r="F12" s="6">
        <f>'[1]Lightsaber, Obi-Wan Kenobi EIV'!H11</f>
        <v>6.8000000000000005E-2</v>
      </c>
      <c r="G12" t="s">
        <v>0</v>
      </c>
      <c r="J12">
        <v>6</v>
      </c>
      <c r="K12" t="str">
        <f>D14</f>
        <v>Electronic component/silicon</v>
      </c>
      <c r="L12" s="6">
        <f>H28</f>
        <v>1.8512</v>
      </c>
      <c r="M12" s="18">
        <f t="shared" si="0"/>
        <v>0.45115039891082864</v>
      </c>
    </row>
    <row r="13" spans="1:13">
      <c r="C13" t="str">
        <f>'[1]Lightsaber, Obi-Wan Kenobi EIV'!B12</f>
        <v>Texas Instruments calculator display bubble strip: extracta 19, 20, 2000</v>
      </c>
      <c r="D13" t="s">
        <v>111</v>
      </c>
      <c r="E13">
        <v>1</v>
      </c>
      <c r="F13" s="6">
        <f>'[1]Lightsaber, Obi-Wan Kenobi EIV'!H12</f>
        <v>1.4000000000000002E-2</v>
      </c>
      <c r="G13" t="s">
        <v>0</v>
      </c>
      <c r="J13">
        <v>7</v>
      </c>
      <c r="K13" t="str">
        <f>D16</f>
        <v>Steel</v>
      </c>
      <c r="L13" s="6">
        <f>H30</f>
        <v>0.18994232</v>
      </c>
      <c r="M13" s="18">
        <f t="shared" si="0"/>
        <v>4.6290273032653553E-2</v>
      </c>
    </row>
    <row r="14" spans="1:13" ht="15.75" thickBot="1">
      <c r="C14" t="str">
        <f>'[1]Lightsaber, Obi-Wan Kenobi EIV'!B14</f>
        <v>Marconi Elliott transistors (DTL NAND gates) x 2</v>
      </c>
      <c r="D14" t="s">
        <v>112</v>
      </c>
      <c r="E14">
        <v>2</v>
      </c>
      <c r="F14" s="6">
        <f>'[1]Lightsaber, Obi-Wan Kenobi EIV'!H14</f>
        <v>2.5999999999999999E-2</v>
      </c>
      <c r="G14" t="s">
        <v>0</v>
      </c>
      <c r="K14" s="3" t="s">
        <v>38</v>
      </c>
      <c r="L14" s="13">
        <f>SUM(L7:L13)</f>
        <v>4.1032879599999994</v>
      </c>
      <c r="M14" s="10">
        <f>SUM(M7:M13)</f>
        <v>1.0000000000000002</v>
      </c>
    </row>
    <row r="15" spans="1:13">
      <c r="A15">
        <v>4</v>
      </c>
      <c r="B15" t="s">
        <v>113</v>
      </c>
      <c r="C15" t="str">
        <f>'[1]Lightsaber, Obi-Wan Kenobi EIV'!B15</f>
        <v>No 3 MK1 Rifle Rod Grenade</v>
      </c>
      <c r="D15" t="str">
        <f>'[1]Lightsaber, Obi-Wan Kenobi EIV'!D15</f>
        <v>cast iron</v>
      </c>
      <c r="E15">
        <v>1</v>
      </c>
      <c r="F15" s="6">
        <f>'[1]Lightsaber, Obi-Wan Kenobi EIV'!H15</f>
        <v>0.49</v>
      </c>
      <c r="G15" t="s">
        <v>0</v>
      </c>
    </row>
    <row r="16" spans="1:13">
      <c r="A16">
        <v>5</v>
      </c>
      <c r="B16" t="s">
        <v>114</v>
      </c>
      <c r="C16" t="str">
        <f>'[1]Lightsaber, Obi-Wan Kenobi EIV'!B17</f>
        <v>Rolls Royce Derwent Jet Engine Balance Pipe</v>
      </c>
      <c r="D16" t="s">
        <v>20</v>
      </c>
      <c r="E16">
        <v>1</v>
      </c>
      <c r="F16" s="6">
        <f>'[1]Lightsaber, Obi-Wan Kenobi EIV'!H17</f>
        <v>0.14174799999999999</v>
      </c>
      <c r="G16" t="s">
        <v>0</v>
      </c>
    </row>
    <row r="17" spans="1:13" ht="16.5" thickBot="1">
      <c r="A17" s="3"/>
      <c r="B17" s="3"/>
      <c r="C17" s="3" t="s">
        <v>38</v>
      </c>
      <c r="D17" s="3"/>
      <c r="E17" s="3"/>
      <c r="F17" s="13">
        <f>SUM(F7:F16)</f>
        <v>0.96449600000000002</v>
      </c>
      <c r="G17" s="3" t="s">
        <v>0</v>
      </c>
      <c r="J17" s="15" t="s">
        <v>5</v>
      </c>
      <c r="K17" s="15" t="s">
        <v>136</v>
      </c>
      <c r="L17" s="2" t="s">
        <v>134</v>
      </c>
      <c r="M17" s="2" t="s">
        <v>135</v>
      </c>
    </row>
    <row r="18" spans="1:13">
      <c r="F18" s="6"/>
      <c r="J18">
        <v>1</v>
      </c>
      <c r="K18" t="str">
        <f>B7</f>
        <v>Pommel</v>
      </c>
      <c r="L18" s="6">
        <f>SUM(H21:H24)</f>
        <v>0.355406</v>
      </c>
      <c r="M18" s="18">
        <f>L18/$L$23</f>
        <v>8.6614930140072363E-2</v>
      </c>
    </row>
    <row r="19" spans="1:13" ht="15.75">
      <c r="A19" s="11" t="s">
        <v>115</v>
      </c>
      <c r="B19" s="11"/>
      <c r="C19" s="11"/>
      <c r="D19" s="11"/>
      <c r="E19" s="11"/>
      <c r="F19" s="14"/>
      <c r="G19" s="11"/>
      <c r="H19" s="11"/>
      <c r="I19" s="11"/>
      <c r="J19">
        <v>2</v>
      </c>
      <c r="K19" t="str">
        <f>B11</f>
        <v>Lower Grip</v>
      </c>
      <c r="L19" s="6">
        <f>SUM(H25)</f>
        <v>0.20269963999999996</v>
      </c>
      <c r="M19" s="18">
        <f t="shared" ref="M19:M22" si="1">L19/$L$23</f>
        <v>4.9399321221413862E-2</v>
      </c>
    </row>
    <row r="20" spans="1:13" ht="16.5" thickBot="1">
      <c r="A20" s="15" t="str">
        <f t="shared" ref="A20:D30" si="2">A6</f>
        <v>No</v>
      </c>
      <c r="B20" s="15" t="str">
        <f t="shared" si="2"/>
        <v>Lightsaber components</v>
      </c>
      <c r="C20" s="15" t="str">
        <f t="shared" si="2"/>
        <v>Lightsaber Parts</v>
      </c>
      <c r="D20" s="15" t="str">
        <f t="shared" si="2"/>
        <v>Materials</v>
      </c>
      <c r="E20" s="15" t="s">
        <v>40</v>
      </c>
      <c r="F20" s="16" t="s">
        <v>41</v>
      </c>
      <c r="G20" s="15" t="s">
        <v>116</v>
      </c>
      <c r="H20" s="15" t="s">
        <v>117</v>
      </c>
      <c r="I20" s="11"/>
      <c r="J20">
        <v>3</v>
      </c>
      <c r="K20" t="str">
        <f>B12</f>
        <v>Controls</v>
      </c>
      <c r="L20" s="6">
        <f>SUM(H26:H28)</f>
        <v>2.6545399999999999</v>
      </c>
      <c r="M20" s="18">
        <f t="shared" si="1"/>
        <v>0.64692998051250594</v>
      </c>
    </row>
    <row r="21" spans="1:13">
      <c r="A21">
        <f t="shared" si="2"/>
        <v>1</v>
      </c>
      <c r="B21" t="str">
        <f t="shared" si="2"/>
        <v>Pommel</v>
      </c>
      <c r="C21" t="str">
        <f t="shared" si="2"/>
        <v>Armitage shanks starlight tap wheel - D-ring 3/4"</v>
      </c>
      <c r="D21" t="str">
        <f t="shared" si="2"/>
        <v>Brass</v>
      </c>
      <c r="E21" t="str">
        <f>C36</f>
        <v>brass, at plant, CH, [kg] (#1066)</v>
      </c>
      <c r="F21" s="6">
        <f t="shared" ref="F21:F30" si="3">F7</f>
        <v>5.8500000000000003E-2</v>
      </c>
      <c r="G21">
        <f>D36</f>
        <v>1.98</v>
      </c>
      <c r="H21" s="6">
        <f>F21*G21</f>
        <v>0.11583</v>
      </c>
      <c r="I21" s="6"/>
      <c r="J21">
        <v>4</v>
      </c>
      <c r="K21" t="str">
        <f>B15</f>
        <v>Upper grip</v>
      </c>
      <c r="L21" s="6">
        <f>SUM(H29)</f>
        <v>0.70069999999999999</v>
      </c>
      <c r="M21" s="18">
        <f t="shared" si="1"/>
        <v>0.17076549509335437</v>
      </c>
    </row>
    <row r="22" spans="1:13">
      <c r="D22" t="str">
        <f t="shared" si="2"/>
        <v>Chrome plated</v>
      </c>
      <c r="E22" t="str">
        <f>C37</f>
        <v>chromium, at regional storage, RER, [kg] (#1073)</v>
      </c>
      <c r="F22" s="6">
        <f t="shared" si="3"/>
        <v>6.5000000000000006E-3</v>
      </c>
      <c r="G22">
        <f>D37</f>
        <v>25</v>
      </c>
      <c r="H22" s="6">
        <f t="shared" ref="H22:H30" si="4">F22*G22</f>
        <v>0.16250000000000001</v>
      </c>
      <c r="I22" s="6"/>
      <c r="J22">
        <v>5</v>
      </c>
      <c r="K22" t="str">
        <f>B16</f>
        <v>Emitter</v>
      </c>
      <c r="L22" s="6">
        <f>SUM(H30)</f>
        <v>0.18994232</v>
      </c>
      <c r="M22" s="18">
        <f t="shared" si="1"/>
        <v>4.6290273032653553E-2</v>
      </c>
    </row>
    <row r="23" spans="1:13">
      <c r="C23" t="str">
        <f>C9</f>
        <v>D-ring</v>
      </c>
      <c r="D23" t="str">
        <f t="shared" si="2"/>
        <v>Brass</v>
      </c>
      <c r="E23" t="str">
        <f>E21</f>
        <v>brass, at plant, CH, [kg] (#1066)</v>
      </c>
      <c r="F23" s="6">
        <f t="shared" si="3"/>
        <v>1.6199999999999999E-2</v>
      </c>
      <c r="G23">
        <f>G21</f>
        <v>1.98</v>
      </c>
      <c r="H23" s="6">
        <f t="shared" si="4"/>
        <v>3.2076E-2</v>
      </c>
      <c r="I23" s="6"/>
      <c r="L23" s="6">
        <f>SUM(L18:L22)</f>
        <v>4.1032879599999994</v>
      </c>
      <c r="M23" s="18">
        <f>SUM(M18:M22)</f>
        <v>1.0000000000000002</v>
      </c>
    </row>
    <row r="24" spans="1:13">
      <c r="D24" t="str">
        <f t="shared" si="2"/>
        <v>Chrome plated</v>
      </c>
      <c r="E24" t="str">
        <f>E22</f>
        <v>chromium, at regional storage, RER, [kg] (#1073)</v>
      </c>
      <c r="F24" s="6">
        <f t="shared" si="3"/>
        <v>1.8E-3</v>
      </c>
      <c r="G24">
        <f>G22</f>
        <v>25</v>
      </c>
      <c r="H24" s="6">
        <f t="shared" si="4"/>
        <v>4.4999999999999998E-2</v>
      </c>
      <c r="I24" s="6"/>
    </row>
    <row r="25" spans="1:13">
      <c r="A25">
        <f t="shared" ref="A25:C26" si="5">A11</f>
        <v>2</v>
      </c>
      <c r="B25" t="str">
        <f t="shared" si="5"/>
        <v>Lower Grip</v>
      </c>
      <c r="C25" t="str">
        <f t="shared" si="5"/>
        <v>Browning ANM2 Machine Gun (.303 Mk II) Muzzle Booster</v>
      </c>
      <c r="D25" t="str">
        <f t="shared" si="2"/>
        <v>Cast iron</v>
      </c>
      <c r="E25" t="str">
        <f t="shared" ref="E25:E30" si="6">C38</f>
        <v>cast iron, at plant, RER, [kg] (#1069)</v>
      </c>
      <c r="F25" s="6">
        <f t="shared" si="3"/>
        <v>0.14174799999999999</v>
      </c>
      <c r="G25">
        <f t="shared" ref="G25:G30" si="7">D38</f>
        <v>1.43</v>
      </c>
      <c r="H25" s="6">
        <f t="shared" si="4"/>
        <v>0.20269963999999996</v>
      </c>
      <c r="I25" s="6"/>
    </row>
    <row r="26" spans="1:13">
      <c r="A26">
        <f t="shared" si="5"/>
        <v>3</v>
      </c>
      <c r="B26" t="str">
        <f t="shared" si="5"/>
        <v>Controls</v>
      </c>
      <c r="C26" t="str">
        <f t="shared" si="5"/>
        <v>Graflex flash handle clamp</v>
      </c>
      <c r="D26" t="str">
        <f t="shared" si="2"/>
        <v>Aluminium</v>
      </c>
      <c r="E26" t="str">
        <f t="shared" si="6"/>
        <v>aluminium, production mix, wrought alloy, at plant, RER, [kg] (#1058)</v>
      </c>
      <c r="F26" s="6">
        <f t="shared" si="3"/>
        <v>6.8000000000000005E-2</v>
      </c>
      <c r="G26">
        <f t="shared" si="7"/>
        <v>10.7</v>
      </c>
      <c r="H26" s="6">
        <f t="shared" si="4"/>
        <v>0.72760000000000002</v>
      </c>
      <c r="I26" s="6"/>
    </row>
    <row r="27" spans="1:13">
      <c r="C27" t="str">
        <f>C13</f>
        <v>Texas Instruments calculator display bubble strip: extracta 19, 20, 2000</v>
      </c>
      <c r="D27" t="str">
        <f t="shared" si="2"/>
        <v>Plastic/polycarbonate</v>
      </c>
      <c r="E27" t="str">
        <f t="shared" si="6"/>
        <v>polycarbonate, at plant, RER, [kg] (#1826)</v>
      </c>
      <c r="F27" s="6">
        <f t="shared" si="3"/>
        <v>1.4000000000000002E-2</v>
      </c>
      <c r="G27">
        <f t="shared" si="7"/>
        <v>5.41</v>
      </c>
      <c r="H27" s="6">
        <f t="shared" si="4"/>
        <v>7.5740000000000016E-2</v>
      </c>
      <c r="I27" s="6"/>
    </row>
    <row r="28" spans="1:13">
      <c r="C28" t="str">
        <f>C14</f>
        <v>Marconi Elliott transistors (DTL NAND gates) x 2</v>
      </c>
      <c r="D28" t="str">
        <f t="shared" si="2"/>
        <v>Electronic component/silicon</v>
      </c>
      <c r="E28" t="str">
        <f t="shared" si="6"/>
        <v>silicon, electronic grade, at plant, DE, [kg] (#1190)</v>
      </c>
      <c r="F28" s="6">
        <f t="shared" si="3"/>
        <v>2.5999999999999999E-2</v>
      </c>
      <c r="G28">
        <f t="shared" si="7"/>
        <v>71.2</v>
      </c>
      <c r="H28" s="6">
        <f t="shared" si="4"/>
        <v>1.8512</v>
      </c>
      <c r="I28" s="6"/>
    </row>
    <row r="29" spans="1:13">
      <c r="A29">
        <f>A15</f>
        <v>4</v>
      </c>
      <c r="B29" t="str">
        <f>B15</f>
        <v>Upper grip</v>
      </c>
      <c r="C29" t="str">
        <f>C15</f>
        <v>No 3 MK1 Rifle Rod Grenade</v>
      </c>
      <c r="D29" t="str">
        <f t="shared" si="2"/>
        <v>cast iron</v>
      </c>
      <c r="E29" t="str">
        <f t="shared" si="6"/>
        <v>cast iron, at plant, RER, [kg] (#1069)</v>
      </c>
      <c r="F29" s="6">
        <f t="shared" si="3"/>
        <v>0.49</v>
      </c>
      <c r="G29">
        <f t="shared" si="7"/>
        <v>1.43</v>
      </c>
      <c r="H29" s="6">
        <f t="shared" si="4"/>
        <v>0.70069999999999999</v>
      </c>
      <c r="I29" s="6"/>
    </row>
    <row r="30" spans="1:13">
      <c r="A30">
        <f>A16</f>
        <v>5</v>
      </c>
      <c r="B30" t="str">
        <f>B16</f>
        <v>Emitter</v>
      </c>
      <c r="C30" t="str">
        <f>C16</f>
        <v>Rolls Royce Derwent Jet Engine Balance Pipe</v>
      </c>
      <c r="D30" t="str">
        <f t="shared" si="2"/>
        <v>Steel</v>
      </c>
      <c r="E30" t="str">
        <f t="shared" si="6"/>
        <v>steel, low-alloyed, at plant, RER, [kg] (#1154)</v>
      </c>
      <c r="F30" s="6">
        <f t="shared" si="3"/>
        <v>0.14174799999999999</v>
      </c>
      <c r="G30">
        <f t="shared" si="7"/>
        <v>1.34</v>
      </c>
      <c r="H30" s="6">
        <f t="shared" si="4"/>
        <v>0.18994232</v>
      </c>
      <c r="I30" s="6"/>
    </row>
    <row r="31" spans="1:13" ht="15.75" thickBot="1">
      <c r="A31" s="3"/>
      <c r="B31" s="3"/>
      <c r="C31" s="3" t="s">
        <v>38</v>
      </c>
      <c r="D31" s="3"/>
      <c r="E31" s="3"/>
      <c r="F31" s="13"/>
      <c r="G31" s="3"/>
      <c r="H31" s="13">
        <f>SUM(H21:H30)</f>
        <v>4.1032879599999994</v>
      </c>
      <c r="I31" s="6"/>
    </row>
    <row r="32" spans="1:13">
      <c r="F32" s="6"/>
    </row>
    <row r="33" spans="1:6">
      <c r="F33" s="6"/>
    </row>
    <row r="34" spans="1:6" ht="15.75">
      <c r="A34" s="11" t="s">
        <v>56</v>
      </c>
      <c r="B34" s="11" t="s">
        <v>118</v>
      </c>
      <c r="C34" s="11"/>
      <c r="D34" s="11"/>
      <c r="E34" s="11"/>
      <c r="F34" s="6"/>
    </row>
    <row r="35" spans="1:6" ht="16.5" thickBot="1">
      <c r="A35" s="15" t="s">
        <v>5</v>
      </c>
      <c r="B35" s="15" t="s">
        <v>8</v>
      </c>
      <c r="C35" s="15" t="s">
        <v>119</v>
      </c>
      <c r="D35" s="15" t="s">
        <v>116</v>
      </c>
      <c r="E35" s="15" t="s">
        <v>58</v>
      </c>
      <c r="F35" s="6"/>
    </row>
    <row r="36" spans="1:6">
      <c r="A36">
        <v>1</v>
      </c>
      <c r="B36" t="str">
        <f>D21</f>
        <v>Brass</v>
      </c>
      <c r="C36" t="s">
        <v>120</v>
      </c>
      <c r="D36" s="17">
        <v>1.98</v>
      </c>
      <c r="E36" t="s">
        <v>121</v>
      </c>
      <c r="F36" s="6"/>
    </row>
    <row r="37" spans="1:6">
      <c r="A37">
        <v>2</v>
      </c>
      <c r="B37" t="str">
        <f>D22</f>
        <v>Chrome plated</v>
      </c>
      <c r="C37" t="s">
        <v>122</v>
      </c>
      <c r="D37" s="17">
        <v>25</v>
      </c>
      <c r="E37" t="s">
        <v>123</v>
      </c>
      <c r="F37" s="6"/>
    </row>
    <row r="38" spans="1:6">
      <c r="A38">
        <v>3</v>
      </c>
      <c r="B38" t="str">
        <f t="shared" ref="B38:B42" si="8">D25</f>
        <v>Cast iron</v>
      </c>
      <c r="C38" t="s">
        <v>124</v>
      </c>
      <c r="D38" s="17">
        <v>1.43</v>
      </c>
      <c r="E38" t="s">
        <v>125</v>
      </c>
      <c r="F38" s="6"/>
    </row>
    <row r="39" spans="1:6">
      <c r="A39">
        <v>4</v>
      </c>
      <c r="B39" t="str">
        <f t="shared" si="8"/>
        <v>Aluminium</v>
      </c>
      <c r="C39" t="s">
        <v>126</v>
      </c>
      <c r="D39" s="17">
        <v>10.7</v>
      </c>
      <c r="E39" t="s">
        <v>127</v>
      </c>
      <c r="F39" s="6"/>
    </row>
    <row r="40" spans="1:6">
      <c r="A40">
        <v>5</v>
      </c>
      <c r="B40" t="str">
        <f t="shared" si="8"/>
        <v>Plastic/polycarbonate</v>
      </c>
      <c r="C40" t="s">
        <v>128</v>
      </c>
      <c r="D40" s="17">
        <v>5.41</v>
      </c>
      <c r="E40" t="s">
        <v>129</v>
      </c>
      <c r="F40" s="6"/>
    </row>
    <row r="41" spans="1:6">
      <c r="A41">
        <v>6</v>
      </c>
      <c r="B41" t="str">
        <f>D28</f>
        <v>Electronic component/silicon</v>
      </c>
      <c r="C41" t="s">
        <v>130</v>
      </c>
      <c r="D41" s="17">
        <v>71.2</v>
      </c>
      <c r="E41" t="s">
        <v>131</v>
      </c>
      <c r="F41" s="6"/>
    </row>
    <row r="42" spans="1:6">
      <c r="A42">
        <v>7</v>
      </c>
      <c r="B42" t="str">
        <f t="shared" si="8"/>
        <v>cast iron</v>
      </c>
      <c r="C42" t="str">
        <f>C38</f>
        <v>cast iron, at plant, RER, [kg] (#1069)</v>
      </c>
      <c r="D42">
        <f>D38</f>
        <v>1.43</v>
      </c>
      <c r="E42" t="str">
        <f>E38</f>
        <v>https://db.ecoinvent.org/processdetail.php?area=2&amp;pid=1069&amp;displaymode=LCIA</v>
      </c>
      <c r="F42" s="6"/>
    </row>
    <row r="43" spans="1:6">
      <c r="A43">
        <v>8</v>
      </c>
      <c r="B43" t="str">
        <f>D30</f>
        <v>Steel</v>
      </c>
      <c r="C43" t="s">
        <v>132</v>
      </c>
      <c r="D43" s="17">
        <v>1.34</v>
      </c>
      <c r="E43" t="s">
        <v>133</v>
      </c>
      <c r="F43" s="6"/>
    </row>
    <row r="44" spans="1:6">
      <c r="F4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9CFC-4A2A-B54C-BEC7-BB76369EC702}">
  <dimension ref="A1:I100"/>
  <sheetViews>
    <sheetView workbookViewId="0">
      <selection activeCell="I23" sqref="I23"/>
    </sheetView>
  </sheetViews>
  <sheetFormatPr defaultColWidth="23.109375" defaultRowHeight="15"/>
  <sheetData>
    <row r="1" spans="1:9" ht="15.75">
      <c r="A1" s="1"/>
      <c r="B1" s="1"/>
      <c r="G1">
        <v>1</v>
      </c>
      <c r="H1" t="s">
        <v>0</v>
      </c>
      <c r="I1">
        <v>1000</v>
      </c>
    </row>
    <row r="2" spans="1:9" ht="15.75">
      <c r="A2" s="1"/>
      <c r="B2" s="1" t="s">
        <v>1</v>
      </c>
      <c r="C2" s="1" t="s">
        <v>2</v>
      </c>
      <c r="D2" t="s">
        <v>3</v>
      </c>
    </row>
    <row r="3" spans="1:9" ht="15.75">
      <c r="A3" s="1"/>
      <c r="B3" s="1"/>
    </row>
    <row r="4" spans="1:9" ht="15.75">
      <c r="A4" s="1"/>
      <c r="B4" s="1"/>
    </row>
    <row r="5" spans="1:9" ht="15.75">
      <c r="A5" s="1"/>
      <c r="B5" s="1"/>
    </row>
    <row r="6" spans="1:9" ht="15.75">
      <c r="A6" s="1"/>
      <c r="B6" s="1"/>
    </row>
    <row r="7" spans="1:9" ht="15.75">
      <c r="A7" s="1"/>
      <c r="B7" s="1"/>
    </row>
    <row r="8" spans="1:9" ht="15.75">
      <c r="A8" s="1"/>
      <c r="B8" s="1"/>
    </row>
    <row r="9" spans="1:9" ht="15.75">
      <c r="A9" s="1" t="s">
        <v>4</v>
      </c>
      <c r="B9" s="1"/>
    </row>
    <row r="10" spans="1:9" ht="16.5" thickBot="1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 t="s">
        <v>13</v>
      </c>
    </row>
    <row r="11" spans="1:9" ht="15.75">
      <c r="A11" s="1">
        <v>1</v>
      </c>
      <c r="B11" s="1" t="s">
        <v>14</v>
      </c>
      <c r="C11" t="str">
        <f>[2]Weight!A4</f>
        <v>Blade</v>
      </c>
      <c r="D11" t="str">
        <f>[2]Weight!B4</f>
        <v>Plastic - Polycarbonate/PMMA/Acrylic</v>
      </c>
      <c r="E11">
        <v>1</v>
      </c>
      <c r="F11">
        <f>([2]Weight!D4/$I$1)*E11</f>
        <v>7.5999999999999998E-2</v>
      </c>
      <c r="G11" t="s">
        <v>0</v>
      </c>
      <c r="H11" t="s">
        <v>15</v>
      </c>
    </row>
    <row r="12" spans="1:9" ht="15.75">
      <c r="A12" s="1">
        <v>2</v>
      </c>
      <c r="B12" s="1" t="s">
        <v>16</v>
      </c>
      <c r="C12" t="str">
        <f>[2]Weight!A17</f>
        <v>Handle</v>
      </c>
      <c r="D12" t="s">
        <v>17</v>
      </c>
      <c r="E12">
        <v>1</v>
      </c>
      <c r="F12">
        <f>[2]Weight!D17/I1</f>
        <v>0.128</v>
      </c>
      <c r="G12" t="s">
        <v>0</v>
      </c>
      <c r="H12" t="s">
        <v>15</v>
      </c>
    </row>
    <row r="13" spans="1:9" ht="15.75">
      <c r="A13" s="1">
        <v>3</v>
      </c>
      <c r="B13" s="1"/>
      <c r="D13" t="s">
        <v>18</v>
      </c>
      <c r="E13">
        <v>1</v>
      </c>
      <c r="F13">
        <f>[2]Weight!D18/I1</f>
        <v>1.4E-2</v>
      </c>
      <c r="G13" t="s">
        <v>0</v>
      </c>
      <c r="H13" t="s">
        <v>15</v>
      </c>
    </row>
    <row r="14" spans="1:9" ht="15.75">
      <c r="A14" s="1">
        <v>4</v>
      </c>
      <c r="B14" s="1" t="s">
        <v>19</v>
      </c>
      <c r="C14" t="str">
        <f>[2]Weight!A5</f>
        <v>Handle screw for speaker</v>
      </c>
      <c r="D14" t="str">
        <f>[2]Weight!B5</f>
        <v>Aluminium</v>
      </c>
      <c r="E14">
        <v>1</v>
      </c>
      <c r="F14">
        <f>[2]Weight!D5/$I$1</f>
        <v>8.0000000000000002E-3</v>
      </c>
      <c r="G14" t="s">
        <v>0</v>
      </c>
      <c r="H14" t="s">
        <v>15</v>
      </c>
    </row>
    <row r="15" spans="1:9" ht="15.75">
      <c r="A15" s="1">
        <v>5</v>
      </c>
      <c r="B15" s="1"/>
      <c r="C15" t="str">
        <f>[2]Weight!A6</f>
        <v>Handle base mesh (for speaker)</v>
      </c>
      <c r="D15" t="str">
        <f>[2]Weight!B6</f>
        <v>Aluminium</v>
      </c>
      <c r="E15">
        <v>1</v>
      </c>
      <c r="F15">
        <f>([2]Weight!D6/$I$1)*E15</f>
        <v>1E-3</v>
      </c>
      <c r="G15" t="s">
        <v>0</v>
      </c>
      <c r="H15" t="s">
        <v>15</v>
      </c>
    </row>
    <row r="16" spans="1:9" ht="15.75">
      <c r="A16" s="1">
        <v>6</v>
      </c>
      <c r="B16" s="1"/>
      <c r="C16" t="str">
        <f>[2]Weight!A7</f>
        <v>Screws</v>
      </c>
      <c r="D16" t="str">
        <f>[2]Weight!B7</f>
        <v>Steel</v>
      </c>
      <c r="E16">
        <v>7</v>
      </c>
      <c r="F16">
        <f>([2]Weight!D7*[2]PrecalcLCA!E16)/$I$1</f>
        <v>7.0000000000000001E-3</v>
      </c>
      <c r="G16" t="s">
        <v>0</v>
      </c>
      <c r="H16" t="s">
        <v>15</v>
      </c>
    </row>
    <row r="17" spans="1:8" ht="15.75">
      <c r="A17" s="1">
        <v>7</v>
      </c>
      <c r="B17" s="1"/>
      <c r="C17" t="str">
        <f>[2]Weight!A8</f>
        <v>Handle battery seal</v>
      </c>
      <c r="D17" t="str">
        <f>[2]Weight!B8</f>
        <v>Glue - hot gun</v>
      </c>
      <c r="E17">
        <v>1</v>
      </c>
      <c r="F17">
        <f>([2]Weight!D8/[2]PrecalcLCA!I1)*[2]PrecalcLCA!E17</f>
        <v>1E-3</v>
      </c>
      <c r="G17" t="s">
        <v>0</v>
      </c>
      <c r="H17" t="s">
        <v>15</v>
      </c>
    </row>
    <row r="18" spans="1:8" ht="15.75">
      <c r="A18" s="1">
        <v>8</v>
      </c>
      <c r="B18" s="1"/>
      <c r="C18" t="str">
        <f>[2]Weight!A9</f>
        <v>Handle battery seal</v>
      </c>
      <c r="D18" t="str">
        <f>[2]Weight!B9</f>
        <v>Foam - double sided tape</v>
      </c>
      <c r="E18">
        <v>1</v>
      </c>
      <c r="F18">
        <f>[2]Weight!D9/[2]PrecalcLCA!I1*[2]PrecalcLCA!E18</f>
        <v>1E-3</v>
      </c>
      <c r="G18" t="s">
        <v>0</v>
      </c>
      <c r="H18" t="s">
        <v>15</v>
      </c>
    </row>
    <row r="19" spans="1:8" ht="15.75">
      <c r="A19" s="1">
        <v>9</v>
      </c>
      <c r="B19" s="1"/>
      <c r="C19" t="str">
        <f>[2]Weight!A10</f>
        <v>Battery: HL 18650 1500mAh 3.7V H12022-09-MG (rechargeable)</v>
      </c>
      <c r="D19" t="str">
        <f>[2]Weight!B10</f>
        <v>Battery</v>
      </c>
      <c r="E19">
        <v>1</v>
      </c>
      <c r="F19">
        <f>[2]Weight!D10/I1*E19</f>
        <v>3.9E-2</v>
      </c>
      <c r="G19" t="s">
        <v>0</v>
      </c>
      <c r="H19" t="s">
        <v>15</v>
      </c>
    </row>
    <row r="20" spans="1:8" ht="15.75">
      <c r="A20" s="1">
        <v>10</v>
      </c>
      <c r="B20" s="1"/>
      <c r="C20" t="str">
        <f>[2]Weight!A11</f>
        <v>Wire, circuit board and plastic connector between battery and bulb</v>
      </c>
      <c r="D20" t="s">
        <v>21</v>
      </c>
      <c r="E20">
        <v>0.4</v>
      </c>
      <c r="F20">
        <f>E20*[2]Weight!$D$11/$I$1</f>
        <v>8.0000000000000004E-4</v>
      </c>
      <c r="G20" t="s">
        <v>0</v>
      </c>
      <c r="H20" t="s">
        <v>15</v>
      </c>
    </row>
    <row r="21" spans="1:8" ht="15.75">
      <c r="A21" s="1">
        <v>11</v>
      </c>
      <c r="B21" s="1"/>
      <c r="D21" t="s">
        <v>22</v>
      </c>
      <c r="E21">
        <v>0.2</v>
      </c>
      <c r="F21">
        <f>E21*[2]Weight!$D$11/$I$1</f>
        <v>4.0000000000000002E-4</v>
      </c>
      <c r="G21" t="s">
        <v>0</v>
      </c>
      <c r="H21" t="s">
        <v>15</v>
      </c>
    </row>
    <row r="22" spans="1:8" ht="15.75">
      <c r="A22" s="1">
        <v>12</v>
      </c>
      <c r="B22" s="1"/>
      <c r="D22" t="s">
        <v>18</v>
      </c>
      <c r="E22">
        <v>0.3</v>
      </c>
      <c r="F22">
        <f>E22*[2]Weight!$D$11/$I$1</f>
        <v>5.9999999999999995E-4</v>
      </c>
      <c r="G22" t="s">
        <v>0</v>
      </c>
      <c r="H22" t="s">
        <v>15</v>
      </c>
    </row>
    <row r="23" spans="1:8" ht="15.75">
      <c r="A23" s="1">
        <v>13</v>
      </c>
      <c r="B23" s="1"/>
      <c r="D23" t="s">
        <v>23</v>
      </c>
      <c r="E23">
        <v>0.1</v>
      </c>
      <c r="F23">
        <f>E23*[2]Weight!$D$11/$I$1</f>
        <v>2.0000000000000001E-4</v>
      </c>
      <c r="G23" t="s">
        <v>0</v>
      </c>
      <c r="H23" t="s">
        <v>15</v>
      </c>
    </row>
    <row r="24" spans="1:8" ht="15.75">
      <c r="A24" s="1">
        <v>14</v>
      </c>
      <c r="B24" s="1"/>
      <c r="C24" t="str">
        <f>[2]Weight!A12</f>
        <v>Speaker, holder, wires and plastic connector</v>
      </c>
      <c r="D24" t="s">
        <v>21</v>
      </c>
      <c r="E24">
        <v>0.2</v>
      </c>
      <c r="F24">
        <f>(E24*[2]Weight!$D$12/[2]PrecalcLCA!$I$1)</f>
        <v>1E-3</v>
      </c>
      <c r="G24" t="s">
        <v>0</v>
      </c>
      <c r="H24" t="s">
        <v>15</v>
      </c>
    </row>
    <row r="25" spans="1:8" ht="15.75">
      <c r="A25" s="1">
        <v>15</v>
      </c>
      <c r="B25" s="1"/>
      <c r="D25" t="str">
        <f>D21</f>
        <v>Plastic connector housing (JST connector)</v>
      </c>
      <c r="E25">
        <v>0.2</v>
      </c>
      <c r="F25">
        <f>E25*[2]Weight!$D$12/[2]PrecalcLCA!$I$1</f>
        <v>1E-3</v>
      </c>
      <c r="G25" t="s">
        <v>0</v>
      </c>
      <c r="H25" t="s">
        <v>15</v>
      </c>
    </row>
    <row r="26" spans="1:8" ht="15.75">
      <c r="A26" s="1">
        <v>16</v>
      </c>
      <c r="B26" s="1"/>
      <c r="D26" t="s">
        <v>24</v>
      </c>
      <c r="E26">
        <v>0.3</v>
      </c>
      <c r="F26">
        <f>E26*[2]Weight!$D$12/[2]PrecalcLCA!$I$1</f>
        <v>1.5E-3</v>
      </c>
      <c r="G26" t="s">
        <v>0</v>
      </c>
      <c r="H26" t="s">
        <v>15</v>
      </c>
    </row>
    <row r="27" spans="1:8" ht="15.75">
      <c r="A27" s="1">
        <v>17</v>
      </c>
      <c r="B27" s="1"/>
      <c r="D27" t="str">
        <f>D23</f>
        <v>Soldering material</v>
      </c>
      <c r="E27">
        <v>0.1</v>
      </c>
      <c r="F27">
        <f>E27*[2]Weight!$D$12/[2]PrecalcLCA!$I$1</f>
        <v>5.0000000000000001E-4</v>
      </c>
      <c r="G27" t="s">
        <v>0</v>
      </c>
      <c r="H27" t="s">
        <v>15</v>
      </c>
    </row>
    <row r="28" spans="1:8" ht="15.75">
      <c r="A28" s="1">
        <v>18</v>
      </c>
      <c r="B28" s="1"/>
      <c r="D28" t="s">
        <v>25</v>
      </c>
      <c r="E28">
        <v>0.2</v>
      </c>
      <c r="F28">
        <f>E28*9/I1</f>
        <v>1.8E-3</v>
      </c>
      <c r="G28" t="s">
        <v>0</v>
      </c>
      <c r="H28" t="s">
        <v>15</v>
      </c>
    </row>
    <row r="29" spans="1:8" ht="15.75">
      <c r="A29" s="1">
        <v>19</v>
      </c>
      <c r="B29" s="1" t="s">
        <v>26</v>
      </c>
      <c r="C29" t="str">
        <f>[2]Weight!A13</f>
        <v>Lens</v>
      </c>
      <c r="D29" t="str">
        <f>[2]Weight!B13</f>
        <v>Plastic - resin</v>
      </c>
      <c r="E29">
        <v>1</v>
      </c>
      <c r="F29">
        <f>[2]Weight!D13/[2]PrecalcLCA!$I$1</f>
        <v>2E-3</v>
      </c>
      <c r="G29" t="s">
        <v>0</v>
      </c>
      <c r="H29" t="s">
        <v>15</v>
      </c>
    </row>
    <row r="30" spans="1:8" ht="15.75">
      <c r="A30" s="1">
        <v>20</v>
      </c>
      <c r="B30" s="1"/>
      <c r="C30" t="str">
        <f>[2]Weight!A14</f>
        <v>Lens mount</v>
      </c>
      <c r="D30" t="str">
        <f>[2]Weight!B14</f>
        <v>Aluminium</v>
      </c>
      <c r="E30">
        <v>1</v>
      </c>
      <c r="F30">
        <f>[2]Weight!D14/[2]PrecalcLCA!$I$1</f>
        <v>5.0000000000000001E-3</v>
      </c>
      <c r="G30" t="s">
        <v>0</v>
      </c>
      <c r="H30" t="s">
        <v>15</v>
      </c>
    </row>
    <row r="31" spans="1:8" ht="15.75">
      <c r="A31" s="1">
        <v>21</v>
      </c>
      <c r="B31" s="1"/>
      <c r="C31" t="str">
        <f>[2]Weight!A15</f>
        <v>LED with chip board, wires x4, and plastic connector</v>
      </c>
      <c r="D31" t="s">
        <v>17</v>
      </c>
      <c r="E31">
        <v>0.3</v>
      </c>
      <c r="F31">
        <f>E31*[2]Weight!$D$15/[2]PrecalcLCA!$I$1</f>
        <v>8.9999999999999987E-4</v>
      </c>
      <c r="G31" t="s">
        <v>0</v>
      </c>
      <c r="H31" t="s">
        <v>15</v>
      </c>
    </row>
    <row r="32" spans="1:8" ht="15.75">
      <c r="A32" s="1">
        <v>22</v>
      </c>
      <c r="B32" s="1"/>
      <c r="D32" t="s">
        <v>27</v>
      </c>
      <c r="E32">
        <f>0.2</f>
        <v>0.2</v>
      </c>
      <c r="F32">
        <f>E32*[2]Weight!$D$15/[2]PrecalcLCA!$I$1</f>
        <v>6.0000000000000006E-4</v>
      </c>
      <c r="G32" t="s">
        <v>0</v>
      </c>
      <c r="H32" t="s">
        <v>15</v>
      </c>
    </row>
    <row r="33" spans="1:8" ht="15.75">
      <c r="A33" s="1">
        <v>23</v>
      </c>
      <c r="B33" s="1"/>
      <c r="D33" t="str">
        <f>D21</f>
        <v>Plastic connector housing (JST connector)</v>
      </c>
      <c r="E33">
        <f>0.2</f>
        <v>0.2</v>
      </c>
      <c r="F33">
        <f>E33*[2]Weight!$D$15/[2]PrecalcLCA!$I$1</f>
        <v>6.0000000000000006E-4</v>
      </c>
      <c r="G33" t="s">
        <v>0</v>
      </c>
      <c r="H33" t="s">
        <v>15</v>
      </c>
    </row>
    <row r="34" spans="1:8" ht="15.75">
      <c r="A34" s="1">
        <v>24</v>
      </c>
      <c r="B34" s="1"/>
      <c r="D34" t="s">
        <v>28</v>
      </c>
      <c r="E34">
        <v>0.3</v>
      </c>
      <c r="F34">
        <f>E34*[2]Weight!$D$15/[2]PrecalcLCA!$I$1</f>
        <v>8.9999999999999987E-4</v>
      </c>
      <c r="G34" t="s">
        <v>0</v>
      </c>
      <c r="H34" t="s">
        <v>15</v>
      </c>
    </row>
    <row r="35" spans="1:8" ht="15.75">
      <c r="A35" s="1">
        <v>25</v>
      </c>
      <c r="B35" s="1"/>
      <c r="C35" t="str">
        <f>[2]Weight!A16</f>
        <v>Base light holder</v>
      </c>
      <c r="D35" t="s">
        <v>17</v>
      </c>
      <c r="E35">
        <v>1</v>
      </c>
      <c r="F35">
        <f>[2]Weight!D16/I1</f>
        <v>3.0000000000000001E-3</v>
      </c>
      <c r="G35" t="s">
        <v>0</v>
      </c>
      <c r="H35" t="s">
        <v>15</v>
      </c>
    </row>
    <row r="36" spans="1:8" ht="15.75">
      <c r="A36" s="1">
        <v>26</v>
      </c>
      <c r="B36" s="1" t="s">
        <v>29</v>
      </c>
      <c r="C36" t="s">
        <v>30</v>
      </c>
      <c r="D36" t="s">
        <v>29</v>
      </c>
      <c r="E36">
        <v>1</v>
      </c>
      <c r="F36">
        <f>30/I1</f>
        <v>0.03</v>
      </c>
      <c r="G36" t="s">
        <v>0</v>
      </c>
      <c r="H36" t="s">
        <v>15</v>
      </c>
    </row>
    <row r="37" spans="1:8" ht="15.75">
      <c r="A37" s="1">
        <v>27</v>
      </c>
      <c r="B37" s="1" t="s">
        <v>31</v>
      </c>
      <c r="C37" t="s">
        <v>32</v>
      </c>
      <c r="D37" t="s">
        <v>33</v>
      </c>
      <c r="E37">
        <v>1</v>
      </c>
      <c r="F37">
        <f>70/I1</f>
        <v>7.0000000000000007E-2</v>
      </c>
      <c r="G37" t="s">
        <v>0</v>
      </c>
      <c r="H37" t="s">
        <v>15</v>
      </c>
    </row>
    <row r="38" spans="1:8" ht="15.75">
      <c r="A38" s="1">
        <v>28</v>
      </c>
      <c r="B38" s="1" t="s">
        <v>34</v>
      </c>
      <c r="C38" t="s">
        <v>35</v>
      </c>
      <c r="D38" t="s">
        <v>36</v>
      </c>
      <c r="E38">
        <v>1</v>
      </c>
      <c r="F38">
        <v>17000</v>
      </c>
      <c r="G38" t="s">
        <v>37</v>
      </c>
    </row>
    <row r="39" spans="1:8" ht="16.5" thickBot="1">
      <c r="A39" s="1"/>
      <c r="B39" s="2" t="s">
        <v>38</v>
      </c>
      <c r="C39" s="3"/>
      <c r="D39" s="3"/>
      <c r="E39" s="3"/>
      <c r="F39" s="3">
        <f>SUM(F11:F37)</f>
        <v>0.3958000000000001</v>
      </c>
      <c r="G39" s="3" t="s">
        <v>0</v>
      </c>
    </row>
    <row r="40" spans="1:8" ht="15.75">
      <c r="A40" s="1"/>
      <c r="B40" s="1"/>
    </row>
    <row r="41" spans="1:8" ht="15.75">
      <c r="A41" s="1" t="s">
        <v>39</v>
      </c>
      <c r="B41" s="1"/>
    </row>
    <row r="42" spans="1:8" ht="16.5" thickBot="1">
      <c r="A42" s="2" t="s">
        <v>5</v>
      </c>
      <c r="B42" s="2" t="str">
        <f t="shared" ref="B42:D57" si="0">B10</f>
        <v>Lightsaber components</v>
      </c>
      <c r="C42" s="2" t="str">
        <f t="shared" si="0"/>
        <v>Lightsaber Parts</v>
      </c>
      <c r="D42" s="2" t="str">
        <f t="shared" si="0"/>
        <v>Materials</v>
      </c>
      <c r="E42" s="2" t="s">
        <v>40</v>
      </c>
      <c r="F42" s="2" t="s">
        <v>41</v>
      </c>
      <c r="G42" s="2" t="s">
        <v>42</v>
      </c>
      <c r="H42" s="2" t="s">
        <v>43</v>
      </c>
    </row>
    <row r="43" spans="1:8" ht="15.75">
      <c r="A43" s="1">
        <v>1</v>
      </c>
      <c r="B43" s="1" t="str">
        <f t="shared" si="0"/>
        <v>The Emitter</v>
      </c>
      <c r="C43" t="str">
        <f t="shared" si="0"/>
        <v>Blade</v>
      </c>
      <c r="D43" t="str">
        <f t="shared" si="0"/>
        <v>Plastic - Polycarbonate/PMMA/Acrylic</v>
      </c>
      <c r="E43" t="str">
        <f>C73</f>
        <v>market for polymethyl methacrylate, beads</v>
      </c>
      <c r="F43">
        <f>F11</f>
        <v>7.5999999999999998E-2</v>
      </c>
      <c r="G43" s="4">
        <f>D73</f>
        <v>7.7477999999999998</v>
      </c>
      <c r="H43" s="4">
        <f>F43*G43</f>
        <v>0.58883279999999993</v>
      </c>
    </row>
    <row r="44" spans="1:8" ht="15.75">
      <c r="A44" s="1">
        <v>2</v>
      </c>
      <c r="B44" s="1" t="str">
        <f t="shared" si="0"/>
        <v>The Casing</v>
      </c>
      <c r="C44" t="str">
        <f t="shared" si="0"/>
        <v>Handle</v>
      </c>
      <c r="D44" t="str">
        <f t="shared" si="0"/>
        <v>Aluminium</v>
      </c>
      <c r="E44" t="str">
        <f>C74</f>
        <v>market for aluminium, cast alloy</v>
      </c>
      <c r="F44">
        <f t="shared" ref="F44:F68" si="1">F12</f>
        <v>0.128</v>
      </c>
      <c r="G44" s="4">
        <f>D74</f>
        <v>5.8635999999999999</v>
      </c>
      <c r="H44" s="4">
        <f t="shared" ref="H44:H68" si="2">F44*G44</f>
        <v>0.75054080000000001</v>
      </c>
    </row>
    <row r="45" spans="1:8" ht="15.75">
      <c r="A45" s="1">
        <v>3</v>
      </c>
      <c r="B45" s="1"/>
      <c r="D45" t="str">
        <f t="shared" si="0"/>
        <v>Circuit board</v>
      </c>
      <c r="E45" t="str">
        <f>C75</f>
        <v>Raspberry Pi board</v>
      </c>
      <c r="F45">
        <f t="shared" si="1"/>
        <v>1.4E-2</v>
      </c>
      <c r="G45" s="4">
        <f>D75</f>
        <v>2.2799999999999997E-2</v>
      </c>
      <c r="H45" s="5">
        <f t="shared" si="2"/>
        <v>3.1919999999999995E-4</v>
      </c>
    </row>
    <row r="46" spans="1:8" ht="15.75">
      <c r="A46" s="1">
        <v>4</v>
      </c>
      <c r="B46" s="1" t="str">
        <f>B14</f>
        <v>The Power Cell</v>
      </c>
      <c r="C46" t="str">
        <f>C14</f>
        <v>Handle screw for speaker</v>
      </c>
      <c r="D46" t="str">
        <f t="shared" si="0"/>
        <v>Aluminium</v>
      </c>
      <c r="E46" t="str">
        <f>C74</f>
        <v>market for aluminium, cast alloy</v>
      </c>
      <c r="F46">
        <f t="shared" si="1"/>
        <v>8.0000000000000002E-3</v>
      </c>
      <c r="G46" s="4">
        <f>D74</f>
        <v>5.8635999999999999</v>
      </c>
      <c r="H46" s="6">
        <f t="shared" si="2"/>
        <v>4.69088E-2</v>
      </c>
    </row>
    <row r="47" spans="1:8" ht="15.75">
      <c r="A47" s="1">
        <v>5</v>
      </c>
      <c r="B47" s="1"/>
      <c r="C47" t="str">
        <f t="shared" ref="C47:C52" si="3">C15</f>
        <v>Handle base mesh (for speaker)</v>
      </c>
      <c r="D47" t="str">
        <f t="shared" si="0"/>
        <v>Aluminium</v>
      </c>
      <c r="E47" t="str">
        <f>C74</f>
        <v>market for aluminium, cast alloy</v>
      </c>
      <c r="F47">
        <f t="shared" si="1"/>
        <v>1E-3</v>
      </c>
      <c r="G47" s="4">
        <f>D74</f>
        <v>5.8635999999999999</v>
      </c>
      <c r="H47" s="6">
        <f t="shared" si="2"/>
        <v>5.8636000000000001E-3</v>
      </c>
    </row>
    <row r="48" spans="1:8" ht="15.75">
      <c r="A48" s="1">
        <v>6</v>
      </c>
      <c r="B48" s="1"/>
      <c r="C48" t="str">
        <f t="shared" si="3"/>
        <v>Screws</v>
      </c>
      <c r="D48" t="str">
        <f t="shared" si="0"/>
        <v>Steel</v>
      </c>
      <c r="E48" t="str">
        <f t="shared" ref="E48:E53" si="4">C76</f>
        <v>market for steel, chromium steel 18/8</v>
      </c>
      <c r="F48">
        <f t="shared" si="1"/>
        <v>7.0000000000000001E-3</v>
      </c>
      <c r="G48" s="4">
        <f t="shared" ref="G48:G53" si="5">D76</f>
        <v>5.2187999999999999</v>
      </c>
      <c r="H48" s="6">
        <f t="shared" si="2"/>
        <v>3.6531599999999997E-2</v>
      </c>
    </row>
    <row r="49" spans="1:8" ht="15.75">
      <c r="A49" s="1">
        <v>7</v>
      </c>
      <c r="B49" s="1"/>
      <c r="C49" t="str">
        <f t="shared" si="3"/>
        <v>Handle battery seal</v>
      </c>
      <c r="D49" t="str">
        <f t="shared" si="0"/>
        <v>Glue - hot gun</v>
      </c>
      <c r="E49" t="str">
        <f t="shared" si="4"/>
        <v>market for ethylene vinyl acetate copolymer</v>
      </c>
      <c r="F49">
        <f t="shared" si="1"/>
        <v>1E-3</v>
      </c>
      <c r="G49" s="4">
        <f t="shared" si="5"/>
        <v>3.6560999999999999</v>
      </c>
      <c r="H49" s="6">
        <f t="shared" si="2"/>
        <v>3.6560999999999998E-3</v>
      </c>
    </row>
    <row r="50" spans="1:8" ht="15.75">
      <c r="A50" s="1">
        <v>8</v>
      </c>
      <c r="B50" s="1"/>
      <c r="C50" t="str">
        <f t="shared" si="3"/>
        <v>Handle battery seal</v>
      </c>
      <c r="D50" t="str">
        <f t="shared" si="0"/>
        <v>Foam - double sided tape</v>
      </c>
      <c r="E50" t="str">
        <f t="shared" si="4"/>
        <v>EVA tape</v>
      </c>
      <c r="F50">
        <f t="shared" si="1"/>
        <v>1E-3</v>
      </c>
      <c r="G50" s="4">
        <f t="shared" si="5"/>
        <v>2.0939999999999999</v>
      </c>
      <c r="H50" s="6">
        <f t="shared" si="2"/>
        <v>2.0939999999999999E-3</v>
      </c>
    </row>
    <row r="51" spans="1:8" ht="15.75">
      <c r="A51" s="1">
        <v>9</v>
      </c>
      <c r="B51" s="1"/>
      <c r="C51" t="str">
        <f t="shared" si="3"/>
        <v>Battery: HL 18650 1500mAh 3.7V H12022-09-MG (rechargeable)</v>
      </c>
      <c r="D51" t="str">
        <f t="shared" si="0"/>
        <v>Battery</v>
      </c>
      <c r="E51" t="str">
        <f t="shared" si="4"/>
        <v>3.7V Li-ion battery cell rechargeable, 9.6Wh</v>
      </c>
      <c r="F51">
        <f t="shared" si="1"/>
        <v>3.9E-2</v>
      </c>
      <c r="G51" s="4">
        <f t="shared" si="5"/>
        <v>0.61919999999999997</v>
      </c>
      <c r="H51" s="6">
        <f t="shared" si="2"/>
        <v>2.4148799999999998E-2</v>
      </c>
    </row>
    <row r="52" spans="1:8" ht="15.75">
      <c r="A52" s="1">
        <v>10</v>
      </c>
      <c r="B52" s="1"/>
      <c r="C52" t="str">
        <f t="shared" si="3"/>
        <v>Wire, circuit board and plastic connector between battery and bulb</v>
      </c>
      <c r="D52" t="str">
        <f t="shared" si="0"/>
        <v>Copper wire (3-pin male/female jumper)</v>
      </c>
      <c r="E52" t="str">
        <f t="shared" si="4"/>
        <v>market for cable, three-conductor cable</v>
      </c>
      <c r="F52">
        <f t="shared" si="1"/>
        <v>8.0000000000000004E-4</v>
      </c>
      <c r="G52" s="4">
        <f t="shared" si="5"/>
        <v>5.9615999999999998</v>
      </c>
      <c r="H52" s="6">
        <f t="shared" si="2"/>
        <v>4.7692799999999999E-3</v>
      </c>
    </row>
    <row r="53" spans="1:8" ht="15.75">
      <c r="A53" s="1">
        <v>11</v>
      </c>
      <c r="B53" s="1"/>
      <c r="D53" t="str">
        <f t="shared" si="0"/>
        <v>Plastic connector housing (JST connector)</v>
      </c>
      <c r="E53" t="str">
        <f t="shared" si="4"/>
        <v>market for electronic component, passive, mobile, earpiece and speaker</v>
      </c>
      <c r="F53">
        <f t="shared" si="1"/>
        <v>4.0000000000000002E-4</v>
      </c>
      <c r="G53" s="4">
        <f t="shared" si="5"/>
        <v>57.01</v>
      </c>
      <c r="H53" s="6">
        <f t="shared" si="2"/>
        <v>2.2804000000000001E-2</v>
      </c>
    </row>
    <row r="54" spans="1:8" ht="15.75">
      <c r="A54" s="1">
        <v>12</v>
      </c>
      <c r="B54" s="1"/>
      <c r="D54" t="str">
        <f t="shared" si="0"/>
        <v>Circuit board</v>
      </c>
      <c r="E54" t="str">
        <f>C81</f>
        <v>market for electronic component, passive, mobile, earpiece and speaker</v>
      </c>
      <c r="F54">
        <f t="shared" si="1"/>
        <v>5.9999999999999995E-4</v>
      </c>
      <c r="G54" s="4">
        <f>D81</f>
        <v>57.01</v>
      </c>
      <c r="H54" s="6">
        <f t="shared" si="2"/>
        <v>3.4205999999999993E-2</v>
      </c>
    </row>
    <row r="55" spans="1:8" ht="15.75">
      <c r="A55" s="1">
        <v>13</v>
      </c>
      <c r="B55" s="1"/>
      <c r="D55" t="str">
        <f t="shared" si="0"/>
        <v>Soldering material</v>
      </c>
      <c r="E55" t="str">
        <f>C82</f>
        <v>market for wire drawing, steel</v>
      </c>
      <c r="F55">
        <f t="shared" si="1"/>
        <v>2.0000000000000001E-4</v>
      </c>
      <c r="G55" s="4">
        <f>D82</f>
        <v>0.38507999999999998</v>
      </c>
      <c r="H55" s="5">
        <f t="shared" si="2"/>
        <v>7.7015999999999996E-5</v>
      </c>
    </row>
    <row r="56" spans="1:8" ht="15.75">
      <c r="A56" s="1">
        <v>14</v>
      </c>
      <c r="B56" s="1"/>
      <c r="C56" t="str">
        <f>C24</f>
        <v>Speaker, holder, wires and plastic connector</v>
      </c>
      <c r="D56" t="str">
        <f t="shared" si="0"/>
        <v>Copper wire (3-pin male/female jumper)</v>
      </c>
      <c r="F56">
        <f t="shared" si="1"/>
        <v>1E-3</v>
      </c>
      <c r="G56" s="4">
        <f>D80</f>
        <v>5.9615999999999998</v>
      </c>
      <c r="H56" s="6">
        <f t="shared" si="2"/>
        <v>5.9616000000000001E-3</v>
      </c>
    </row>
    <row r="57" spans="1:8" ht="15.75">
      <c r="A57" s="1">
        <v>15</v>
      </c>
      <c r="B57" s="1"/>
      <c r="D57" t="str">
        <f t="shared" si="0"/>
        <v>Plastic connector housing (JST connector)</v>
      </c>
      <c r="E57" t="str">
        <f>C81</f>
        <v>market for electronic component, passive, mobile, earpiece and speaker</v>
      </c>
      <c r="F57">
        <f t="shared" si="1"/>
        <v>1E-3</v>
      </c>
      <c r="G57" s="4">
        <f>D81</f>
        <v>57.01</v>
      </c>
      <c r="H57" s="6">
        <f t="shared" si="2"/>
        <v>5.7009999999999998E-2</v>
      </c>
    </row>
    <row r="58" spans="1:8" ht="15.75">
      <c r="A58" s="1">
        <v>16</v>
      </c>
      <c r="B58" s="1"/>
      <c r="D58" t="str">
        <f t="shared" ref="D58:D68" si="6">D26</f>
        <v>Amplifier board</v>
      </c>
      <c r="E58" t="str">
        <f>C81</f>
        <v>market for electronic component, passive, mobile, earpiece and speaker</v>
      </c>
      <c r="F58">
        <f t="shared" si="1"/>
        <v>1.5E-3</v>
      </c>
      <c r="G58" s="4">
        <f>D81</f>
        <v>57.01</v>
      </c>
      <c r="H58" s="6">
        <f t="shared" si="2"/>
        <v>8.5514999999999994E-2</v>
      </c>
    </row>
    <row r="59" spans="1:8" ht="15.75">
      <c r="A59" s="1">
        <v>17</v>
      </c>
      <c r="B59" s="1"/>
      <c r="D59" t="str">
        <f t="shared" si="6"/>
        <v>Soldering material</v>
      </c>
      <c r="E59" t="str">
        <f>C82</f>
        <v>market for wire drawing, steel</v>
      </c>
      <c r="F59">
        <f t="shared" si="1"/>
        <v>5.0000000000000001E-4</v>
      </c>
      <c r="G59" s="4">
        <f>D82</f>
        <v>0.38507999999999998</v>
      </c>
      <c r="H59" s="5">
        <f t="shared" si="2"/>
        <v>1.9254E-4</v>
      </c>
    </row>
    <row r="60" spans="1:8" ht="15.75">
      <c r="A60" s="1">
        <v>18</v>
      </c>
      <c r="B60" s="1"/>
      <c r="D60" t="str">
        <f t="shared" si="6"/>
        <v>Speaker - aluminium</v>
      </c>
      <c r="E60" t="str">
        <f>C85</f>
        <v>market for electronic component, passive, mobile, earpiece and speaker</v>
      </c>
      <c r="F60">
        <f t="shared" si="1"/>
        <v>1.8E-3</v>
      </c>
      <c r="G60" s="4">
        <f>D81</f>
        <v>57.01</v>
      </c>
      <c r="H60" s="4">
        <f t="shared" si="2"/>
        <v>0.10261799999999999</v>
      </c>
    </row>
    <row r="61" spans="1:8" ht="15.75">
      <c r="A61" s="1">
        <v>19</v>
      </c>
      <c r="B61" s="1" t="str">
        <f t="shared" ref="B61:C68" si="7">B29</f>
        <v>The focusing lens</v>
      </c>
      <c r="C61" t="str">
        <f t="shared" si="7"/>
        <v>Lens</v>
      </c>
      <c r="D61" t="str">
        <f t="shared" si="6"/>
        <v>Plastic - resin</v>
      </c>
      <c r="E61" t="str">
        <f>C83</f>
        <v>market for polymethyl methacrylate, beads</v>
      </c>
      <c r="F61">
        <f t="shared" si="1"/>
        <v>2E-3</v>
      </c>
      <c r="G61" s="4">
        <f>D83</f>
        <v>7.7477999999999998</v>
      </c>
      <c r="H61" s="6">
        <f t="shared" si="2"/>
        <v>1.54956E-2</v>
      </c>
    </row>
    <row r="62" spans="1:8" ht="15.75">
      <c r="A62" s="1">
        <v>20</v>
      </c>
      <c r="B62" s="1"/>
      <c r="C62" t="str">
        <f t="shared" si="7"/>
        <v>Lens mount</v>
      </c>
      <c r="D62" t="str">
        <f t="shared" si="6"/>
        <v>Aluminium</v>
      </c>
      <c r="E62" t="str">
        <f>C74</f>
        <v>market for aluminium, cast alloy</v>
      </c>
      <c r="F62">
        <f t="shared" si="1"/>
        <v>5.0000000000000001E-3</v>
      </c>
      <c r="G62" s="4">
        <f>D74</f>
        <v>5.8635999999999999</v>
      </c>
      <c r="H62" s="6">
        <f t="shared" si="2"/>
        <v>2.9318E-2</v>
      </c>
    </row>
    <row r="63" spans="1:8" ht="15.75">
      <c r="A63" s="1">
        <v>21</v>
      </c>
      <c r="B63" s="1"/>
      <c r="C63" t="str">
        <f t="shared" si="7"/>
        <v>LED with chip board, wires x4, and plastic connector</v>
      </c>
      <c r="D63" t="str">
        <f t="shared" si="6"/>
        <v>Aluminium</v>
      </c>
      <c r="E63" t="str">
        <f>C74</f>
        <v>market for aluminium, cast alloy</v>
      </c>
      <c r="F63">
        <f t="shared" si="1"/>
        <v>8.9999999999999987E-4</v>
      </c>
      <c r="G63" s="4">
        <f>D74</f>
        <v>5.8635999999999999</v>
      </c>
      <c r="H63" s="6">
        <f t="shared" si="2"/>
        <v>5.277239999999999E-3</v>
      </c>
    </row>
    <row r="64" spans="1:8" ht="15.75">
      <c r="A64" s="1">
        <v>22</v>
      </c>
      <c r="B64" s="1"/>
      <c r="D64" t="str">
        <f t="shared" si="6"/>
        <v>Copper wire</v>
      </c>
      <c r="E64" t="str">
        <f>C80</f>
        <v>market for cable, three-conductor cable</v>
      </c>
      <c r="F64">
        <f t="shared" si="1"/>
        <v>6.0000000000000006E-4</v>
      </c>
      <c r="G64" s="4">
        <f>D80</f>
        <v>5.9615999999999998</v>
      </c>
      <c r="H64" s="6">
        <f t="shared" si="2"/>
        <v>3.5769600000000001E-3</v>
      </c>
    </row>
    <row r="65" spans="1:8" ht="15.75">
      <c r="A65" s="1">
        <v>23</v>
      </c>
      <c r="B65" s="1"/>
      <c r="D65" t="str">
        <f t="shared" si="6"/>
        <v>Plastic connector housing (JST connector)</v>
      </c>
      <c r="E65" t="str">
        <f>C81</f>
        <v>market for electronic component, passive, mobile, earpiece and speaker</v>
      </c>
      <c r="F65">
        <f t="shared" si="1"/>
        <v>6.0000000000000006E-4</v>
      </c>
      <c r="G65" s="4">
        <f>D81</f>
        <v>57.01</v>
      </c>
      <c r="H65" s="6">
        <f t="shared" si="2"/>
        <v>3.4206E-2</v>
      </c>
    </row>
    <row r="66" spans="1:8" ht="15.75">
      <c r="A66" s="1">
        <v>24</v>
      </c>
      <c r="B66" s="1"/>
      <c r="D66" t="s">
        <v>28</v>
      </c>
      <c r="E66" t="str">
        <f>C84</f>
        <v>market for light emitting diode</v>
      </c>
      <c r="F66">
        <f t="shared" si="1"/>
        <v>8.9999999999999987E-4</v>
      </c>
      <c r="G66" s="4">
        <f>D84</f>
        <v>270.12</v>
      </c>
      <c r="H66" s="4">
        <f t="shared" si="2"/>
        <v>0.24310799999999996</v>
      </c>
    </row>
    <row r="67" spans="1:8" ht="15.75">
      <c r="A67" s="1">
        <v>25</v>
      </c>
      <c r="B67" s="1"/>
      <c r="C67" t="str">
        <f t="shared" si="7"/>
        <v>Base light holder</v>
      </c>
      <c r="D67" t="str">
        <f t="shared" si="6"/>
        <v>Aluminium</v>
      </c>
      <c r="E67" t="str">
        <f>C74</f>
        <v>market for aluminium, cast alloy</v>
      </c>
      <c r="F67">
        <f t="shared" si="1"/>
        <v>3.0000000000000001E-3</v>
      </c>
      <c r="G67" s="4">
        <f>D74</f>
        <v>5.8635999999999999</v>
      </c>
      <c r="H67" s="6">
        <f t="shared" si="2"/>
        <v>1.75908E-2</v>
      </c>
    </row>
    <row r="68" spans="1:8" ht="15.75">
      <c r="A68" s="1">
        <v>26</v>
      </c>
      <c r="B68" s="1" t="str">
        <f>B36</f>
        <v>USB cable</v>
      </c>
      <c r="C68" t="str">
        <f t="shared" si="7"/>
        <v>USB cable for charging</v>
      </c>
      <c r="D68" t="str">
        <f t="shared" si="6"/>
        <v>USB cable</v>
      </c>
      <c r="E68" t="str">
        <f>C86</f>
        <v>Accessories of 1 smartphone - 2% of total GWP 21.1 kgCO2eq</v>
      </c>
      <c r="F68">
        <f t="shared" si="1"/>
        <v>0.03</v>
      </c>
      <c r="G68" s="4">
        <f>D86</f>
        <v>0.42200000000000004</v>
      </c>
      <c r="H68" s="6">
        <f t="shared" si="2"/>
        <v>1.2660000000000001E-2</v>
      </c>
    </row>
    <row r="69" spans="1:8" ht="16.5" thickBot="1">
      <c r="A69" s="1"/>
      <c r="B69" s="2" t="s">
        <v>38</v>
      </c>
      <c r="C69" s="3"/>
      <c r="D69" s="3"/>
      <c r="E69" s="3"/>
      <c r="F69" s="3">
        <f>SUM(F43:F68)</f>
        <v>0.32580000000000009</v>
      </c>
      <c r="G69" s="3"/>
      <c r="H69" s="7">
        <f>SUM(H43:H68)</f>
        <v>2.1332817360000003</v>
      </c>
    </row>
    <row r="70" spans="1:8" ht="15.75">
      <c r="A70" s="1"/>
      <c r="B70" s="1"/>
    </row>
    <row r="71" spans="1:8" ht="15.75">
      <c r="A71" s="1" t="s">
        <v>56</v>
      </c>
      <c r="B71" s="1"/>
    </row>
    <row r="72" spans="1:8" ht="16.5" thickBot="1">
      <c r="A72" s="2" t="s">
        <v>5</v>
      </c>
      <c r="B72" s="2" t="s">
        <v>8</v>
      </c>
      <c r="C72" s="2" t="s">
        <v>57</v>
      </c>
      <c r="D72" s="2" t="str">
        <f>G42</f>
        <v>GWP, kg CO2 eq/kg material</v>
      </c>
      <c r="E72" s="2" t="s">
        <v>58</v>
      </c>
      <c r="F72" s="2"/>
    </row>
    <row r="73" spans="1:8" ht="15.75">
      <c r="A73" s="1">
        <v>1</v>
      </c>
      <c r="B73" t="s">
        <v>59</v>
      </c>
      <c r="C73" t="s">
        <v>44</v>
      </c>
      <c r="D73" s="4">
        <v>7.7477999999999998</v>
      </c>
      <c r="E73" s="8" t="s">
        <v>60</v>
      </c>
    </row>
    <row r="74" spans="1:8" ht="15.75">
      <c r="A74" s="1">
        <v>2</v>
      </c>
      <c r="B74" t="s">
        <v>17</v>
      </c>
      <c r="C74" t="s">
        <v>45</v>
      </c>
      <c r="D74" s="4">
        <v>5.8635999999999999</v>
      </c>
      <c r="E74" t="s">
        <v>61</v>
      </c>
    </row>
    <row r="75" spans="1:8" ht="15.75">
      <c r="A75" s="1">
        <v>3</v>
      </c>
      <c r="B75" t="s">
        <v>62</v>
      </c>
      <c r="C75" t="s">
        <v>46</v>
      </c>
      <c r="D75" s="4">
        <f>8.322/365</f>
        <v>2.2799999999999997E-2</v>
      </c>
      <c r="E75" t="s">
        <v>63</v>
      </c>
    </row>
    <row r="76" spans="1:8" ht="15.75">
      <c r="A76" s="1">
        <v>4</v>
      </c>
      <c r="B76" t="s">
        <v>20</v>
      </c>
      <c r="C76" t="s">
        <v>47</v>
      </c>
      <c r="D76" s="4">
        <v>5.2187999999999999</v>
      </c>
      <c r="E76" t="s">
        <v>64</v>
      </c>
    </row>
    <row r="77" spans="1:8" ht="15.75">
      <c r="A77" s="1">
        <v>5</v>
      </c>
      <c r="B77" t="s">
        <v>65</v>
      </c>
      <c r="C77" t="s">
        <v>48</v>
      </c>
      <c r="D77" s="4">
        <v>3.6560999999999999</v>
      </c>
      <c r="E77" t="s">
        <v>66</v>
      </c>
    </row>
    <row r="78" spans="1:8" ht="15.75">
      <c r="A78" s="1">
        <v>6</v>
      </c>
      <c r="B78" t="s">
        <v>67</v>
      </c>
      <c r="C78" t="s">
        <v>49</v>
      </c>
      <c r="D78" s="4">
        <v>2.0939999999999999</v>
      </c>
      <c r="E78" t="s">
        <v>68</v>
      </c>
    </row>
    <row r="79" spans="1:8" ht="15.75">
      <c r="A79" s="1">
        <v>7</v>
      </c>
      <c r="B79" t="s">
        <v>69</v>
      </c>
      <c r="C79" t="s">
        <v>50</v>
      </c>
      <c r="D79" s="4">
        <f>0.0096*64.5</f>
        <v>0.61919999999999997</v>
      </c>
      <c r="E79" t="s">
        <v>70</v>
      </c>
    </row>
    <row r="80" spans="1:8" ht="15.75">
      <c r="A80" s="1">
        <v>8</v>
      </c>
      <c r="B80" t="s">
        <v>27</v>
      </c>
      <c r="C80" t="s">
        <v>51</v>
      </c>
      <c r="D80" s="4">
        <v>5.9615999999999998</v>
      </c>
      <c r="E80" t="s">
        <v>71</v>
      </c>
    </row>
    <row r="81" spans="1:5" ht="15.75">
      <c r="A81" s="1">
        <v>9</v>
      </c>
      <c r="B81" t="s">
        <v>72</v>
      </c>
      <c r="C81" t="s">
        <v>52</v>
      </c>
      <c r="D81" s="4">
        <f>D85</f>
        <v>57.01</v>
      </c>
      <c r="E81" t="s">
        <v>73</v>
      </c>
    </row>
    <row r="82" spans="1:5" ht="15.75">
      <c r="A82" s="1">
        <v>10</v>
      </c>
      <c r="B82" t="s">
        <v>74</v>
      </c>
      <c r="C82" t="s">
        <v>53</v>
      </c>
      <c r="D82" s="4">
        <v>0.38507999999999998</v>
      </c>
      <c r="E82" t="s">
        <v>75</v>
      </c>
    </row>
    <row r="83" spans="1:5" ht="15.75">
      <c r="A83" s="1">
        <v>11</v>
      </c>
      <c r="B83" t="s">
        <v>76</v>
      </c>
      <c r="C83" t="str">
        <f>C73</f>
        <v>market for polymethyl methacrylate, beads</v>
      </c>
      <c r="D83" s="4">
        <f>D73</f>
        <v>7.7477999999999998</v>
      </c>
      <c r="E83" t="str">
        <f>E73</f>
        <v>https://ecoquery.ecoinvent.org/3.10/cutoff/dataset/2783/impact_assessment</v>
      </c>
    </row>
    <row r="84" spans="1:5" ht="15.75">
      <c r="A84" s="1">
        <v>12</v>
      </c>
      <c r="B84" t="s">
        <v>28</v>
      </c>
      <c r="C84" t="s">
        <v>54</v>
      </c>
      <c r="D84" s="4">
        <v>270.12</v>
      </c>
      <c r="E84" t="s">
        <v>77</v>
      </c>
    </row>
    <row r="85" spans="1:5" ht="15.75">
      <c r="A85" s="1">
        <v>13</v>
      </c>
      <c r="B85" t="s">
        <v>78</v>
      </c>
      <c r="C85" t="s">
        <v>52</v>
      </c>
      <c r="D85" s="4">
        <v>57.01</v>
      </c>
      <c r="E85" t="s">
        <v>73</v>
      </c>
    </row>
    <row r="86" spans="1:5" ht="15.75">
      <c r="A86" s="1">
        <v>14</v>
      </c>
      <c r="B86" t="s">
        <v>79</v>
      </c>
      <c r="C86" t="s">
        <v>55</v>
      </c>
      <c r="D86">
        <f>0.02*21.1</f>
        <v>0.42200000000000004</v>
      </c>
      <c r="E86" t="s">
        <v>80</v>
      </c>
    </row>
    <row r="87" spans="1:5" ht="15.75">
      <c r="A87" s="1">
        <v>15</v>
      </c>
      <c r="B87" t="s">
        <v>81</v>
      </c>
      <c r="C87" t="s">
        <v>82</v>
      </c>
      <c r="D87" s="4">
        <v>1.0429000000000001E-2</v>
      </c>
      <c r="E87" t="s">
        <v>83</v>
      </c>
    </row>
    <row r="88" spans="1:5" ht="15.75">
      <c r="A88" s="1">
        <v>16</v>
      </c>
      <c r="B88" t="s">
        <v>84</v>
      </c>
      <c r="C88" t="s">
        <v>85</v>
      </c>
      <c r="D88" s="4">
        <v>0.26380999999999999</v>
      </c>
      <c r="E88" t="s">
        <v>86</v>
      </c>
    </row>
    <row r="89" spans="1:5" ht="15.75">
      <c r="A89" s="1">
        <v>17</v>
      </c>
      <c r="B89" t="s">
        <v>87</v>
      </c>
      <c r="C89" t="s">
        <v>88</v>
      </c>
      <c r="D89" s="4">
        <v>0.62748999999999999</v>
      </c>
      <c r="E89" t="s">
        <v>89</v>
      </c>
    </row>
    <row r="90" spans="1:5" ht="15.75">
      <c r="A90" s="1">
        <v>18</v>
      </c>
      <c r="B90" t="s">
        <v>90</v>
      </c>
      <c r="C90" t="s">
        <v>91</v>
      </c>
      <c r="D90" s="4">
        <v>5.1525999999999996</v>
      </c>
      <c r="E90" t="s">
        <v>92</v>
      </c>
    </row>
    <row r="91" spans="1:5" ht="15.75">
      <c r="A91" s="1">
        <v>19</v>
      </c>
      <c r="B91" t="s">
        <v>93</v>
      </c>
      <c r="C91" t="s">
        <v>94</v>
      </c>
      <c r="D91" s="4">
        <v>0.58384000000000003</v>
      </c>
      <c r="E91" t="s">
        <v>95</v>
      </c>
    </row>
    <row r="93" spans="1:5" ht="15.75">
      <c r="A93" s="1" t="s">
        <v>96</v>
      </c>
    </row>
    <row r="94" spans="1:5" ht="16.5" thickBot="1">
      <c r="A94" s="2" t="s">
        <v>5</v>
      </c>
      <c r="B94" s="2" t="s">
        <v>97</v>
      </c>
      <c r="C94" s="2" t="s">
        <v>98</v>
      </c>
      <c r="D94" s="2" t="s">
        <v>99</v>
      </c>
      <c r="E94" s="1"/>
    </row>
    <row r="95" spans="1:5" ht="15.75">
      <c r="A95" s="1">
        <v>1</v>
      </c>
      <c r="B95" t="s">
        <v>100</v>
      </c>
      <c r="C95" s="4">
        <f>H69</f>
        <v>2.1332817360000003</v>
      </c>
      <c r="D95" s="9">
        <f>C95/$C$99</f>
        <v>0.29172961470064285</v>
      </c>
    </row>
    <row r="96" spans="1:5" ht="15.75">
      <c r="A96" s="1">
        <v>2</v>
      </c>
      <c r="B96" t="s">
        <v>101</v>
      </c>
      <c r="C96" s="4">
        <f>F37*D89</f>
        <v>4.3924300000000006E-2</v>
      </c>
      <c r="D96" s="9">
        <f t="shared" ref="D96:D98" si="8">C96/$C$99</f>
        <v>6.0067167401068712E-3</v>
      </c>
    </row>
    <row r="97" spans="1:4" ht="15.75">
      <c r="A97" s="1">
        <v>3</v>
      </c>
      <c r="B97" t="s">
        <v>102</v>
      </c>
      <c r="C97" s="4">
        <f>9.6/1000*D88*2000</f>
        <v>5.0651519999999985</v>
      </c>
      <c r="D97" s="9">
        <f t="shared" si="8"/>
        <v>0.69266745991594136</v>
      </c>
    </row>
    <row r="98" spans="1:4" ht="15.75">
      <c r="A98" s="1">
        <v>4</v>
      </c>
      <c r="B98" t="s">
        <v>103</v>
      </c>
      <c r="C98" s="4">
        <f>F39/1000*D87*F38</f>
        <v>7.0172569400000009E-2</v>
      </c>
      <c r="D98" s="9">
        <f t="shared" si="8"/>
        <v>9.596208643308856E-3</v>
      </c>
    </row>
    <row r="99" spans="1:4" ht="16.5" thickBot="1">
      <c r="A99" s="1"/>
      <c r="B99" s="2" t="s">
        <v>38</v>
      </c>
      <c r="C99" s="7">
        <f>SUM(C95:C98)</f>
        <v>7.3125306053999992</v>
      </c>
      <c r="D99" s="10">
        <f>SUM(D95:D98)</f>
        <v>1</v>
      </c>
    </row>
    <row r="100" spans="1:4" ht="15.75">
      <c r="A100" s="1"/>
      <c r="B100" s="1"/>
    </row>
  </sheetData>
  <hyperlinks>
    <hyperlink ref="E73" r:id="rId1" xr:uid="{68887B6B-6B36-CD4B-9823-728268ACE813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LCA Prop</vt:lpstr>
      <vt:lpstr>LCA Toy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Rebecca.Harrison</dc:creator>
  <cp:lastModifiedBy>Tabitha Dale</cp:lastModifiedBy>
  <dcterms:created xsi:type="dcterms:W3CDTF">2024-08-08T17:15:40Z</dcterms:created>
  <dcterms:modified xsi:type="dcterms:W3CDTF">2024-11-28T21:02:44Z</dcterms:modified>
</cp:coreProperties>
</file>